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ANA\2023\Commissions\AG\2023 06 10\POUR AG SUR LE SITE\"/>
    </mc:Choice>
  </mc:AlternateContent>
  <bookViews>
    <workbookView xWindow="-120" yWindow="-120" windowWidth="24240" windowHeight="13140"/>
  </bookViews>
  <sheets>
    <sheet name="Bilan 2022 Budget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O91" i="2" l="1"/>
  <c r="G176" i="2"/>
  <c r="G18" i="2"/>
  <c r="G20" i="2" s="1"/>
  <c r="C177" i="2" l="1"/>
  <c r="D176" i="2"/>
  <c r="C176" i="2"/>
  <c r="J168" i="2"/>
  <c r="C168" i="2"/>
  <c r="C166" i="2"/>
  <c r="B166" i="2"/>
  <c r="G162" i="2"/>
  <c r="D162" i="2"/>
  <c r="C162" i="2"/>
  <c r="B162" i="2"/>
  <c r="O168" i="2"/>
  <c r="L160" i="2"/>
  <c r="L159" i="2"/>
  <c r="K159" i="2"/>
  <c r="K168" i="2" s="1"/>
  <c r="L157" i="2"/>
  <c r="G156" i="2"/>
  <c r="C156" i="2"/>
  <c r="B156" i="2"/>
  <c r="B168" i="2" s="1"/>
  <c r="D154" i="2"/>
  <c r="O150" i="2"/>
  <c r="M150" i="2"/>
  <c r="L150" i="2"/>
  <c r="K150" i="2"/>
  <c r="J150" i="2"/>
  <c r="C148" i="2"/>
  <c r="B148" i="2"/>
  <c r="D146" i="2"/>
  <c r="D144" i="2"/>
  <c r="G142" i="2"/>
  <c r="D142" i="2"/>
  <c r="C142" i="2"/>
  <c r="M141" i="2"/>
  <c r="M140" i="2"/>
  <c r="M139" i="2"/>
  <c r="G139" i="2"/>
  <c r="G144" i="2" s="1"/>
  <c r="D139" i="2"/>
  <c r="C139" i="2"/>
  <c r="C144" i="2" s="1"/>
  <c r="C150" i="2" s="1"/>
  <c r="B139" i="2"/>
  <c r="B144" i="2" s="1"/>
  <c r="B150" i="2" s="1"/>
  <c r="K135" i="2"/>
  <c r="J135" i="2"/>
  <c r="C135" i="2"/>
  <c r="C133" i="2"/>
  <c r="B133" i="2"/>
  <c r="O131" i="2"/>
  <c r="G133" i="2"/>
  <c r="G129" i="2"/>
  <c r="D129" i="2"/>
  <c r="C129" i="2"/>
  <c r="B129" i="2"/>
  <c r="G126" i="2"/>
  <c r="D126" i="2"/>
  <c r="C126" i="2"/>
  <c r="B126" i="2"/>
  <c r="O125" i="2"/>
  <c r="O135" i="2" s="1"/>
  <c r="L125" i="2"/>
  <c r="L123" i="2"/>
  <c r="O118" i="2"/>
  <c r="K118" i="2"/>
  <c r="J118" i="2"/>
  <c r="C116" i="2"/>
  <c r="B116" i="2"/>
  <c r="D115" i="2"/>
  <c r="G112" i="2"/>
  <c r="D112" i="2"/>
  <c r="C112" i="2"/>
  <c r="B112" i="2"/>
  <c r="B118" i="2" s="1"/>
  <c r="G111" i="2"/>
  <c r="D111" i="2"/>
  <c r="G109" i="2"/>
  <c r="D109" i="2"/>
  <c r="C109" i="2"/>
  <c r="B109" i="2"/>
  <c r="C106" i="2"/>
  <c r="B106" i="2"/>
  <c r="G105" i="2"/>
  <c r="G106" i="2" s="1"/>
  <c r="D105" i="2"/>
  <c r="L104" i="2"/>
  <c r="G103" i="2"/>
  <c r="D103" i="2"/>
  <c r="C103" i="2"/>
  <c r="B103" i="2"/>
  <c r="L98" i="2"/>
  <c r="K98" i="2"/>
  <c r="J98" i="2"/>
  <c r="C98" i="2"/>
  <c r="C96" i="2"/>
  <c r="B96" i="2"/>
  <c r="B98" i="2" s="1"/>
  <c r="G92" i="2"/>
  <c r="D92" i="2"/>
  <c r="C92" i="2"/>
  <c r="B92" i="2"/>
  <c r="O90" i="2"/>
  <c r="O98" i="2" s="1"/>
  <c r="L90" i="2"/>
  <c r="L89" i="2"/>
  <c r="M89" i="2" s="1"/>
  <c r="L88" i="2"/>
  <c r="O84" i="2"/>
  <c r="L84" i="2"/>
  <c r="K84" i="2"/>
  <c r="M84" i="2" s="1"/>
  <c r="J84" i="2"/>
  <c r="B84" i="2"/>
  <c r="C82" i="2"/>
  <c r="B82" i="2"/>
  <c r="D81" i="2"/>
  <c r="G78" i="2"/>
  <c r="C78" i="2"/>
  <c r="B78" i="2"/>
  <c r="M76" i="2"/>
  <c r="M75" i="2"/>
  <c r="D74" i="2"/>
  <c r="D78" i="2" s="1"/>
  <c r="G72" i="2"/>
  <c r="C72" i="2"/>
  <c r="C84" i="2" s="1"/>
  <c r="B72" i="2"/>
  <c r="M70" i="2"/>
  <c r="D70" i="2"/>
  <c r="D72" i="2" s="1"/>
  <c r="O66" i="2"/>
  <c r="K66" i="2"/>
  <c r="J66" i="2"/>
  <c r="C64" i="2"/>
  <c r="B64" i="2"/>
  <c r="D63" i="2"/>
  <c r="G64" i="2"/>
  <c r="G60" i="2"/>
  <c r="D60" i="2"/>
  <c r="C60" i="2"/>
  <c r="C66" i="2" s="1"/>
  <c r="B60" i="2"/>
  <c r="B66" i="2" s="1"/>
  <c r="L58" i="2"/>
  <c r="L55" i="2"/>
  <c r="L54" i="2"/>
  <c r="L66" i="2" s="1"/>
  <c r="O49" i="2"/>
  <c r="K49" i="2"/>
  <c r="J49" i="2"/>
  <c r="G47" i="2"/>
  <c r="C47" i="2"/>
  <c r="B47" i="2"/>
  <c r="D46" i="2"/>
  <c r="D47" i="2" s="1"/>
  <c r="C44" i="2"/>
  <c r="B44" i="2"/>
  <c r="G44" i="2"/>
  <c r="D42" i="2"/>
  <c r="G40" i="2"/>
  <c r="C40" i="2"/>
  <c r="B40" i="2"/>
  <c r="D39" i="2"/>
  <c r="G36" i="2"/>
  <c r="C36" i="2"/>
  <c r="C49" i="2" s="1"/>
  <c r="B36" i="2"/>
  <c r="L35" i="2"/>
  <c r="D35" i="2"/>
  <c r="D33" i="2"/>
  <c r="D32" i="2"/>
  <c r="C32" i="2"/>
  <c r="B32" i="2"/>
  <c r="G32" i="2"/>
  <c r="D30" i="2"/>
  <c r="L29" i="2"/>
  <c r="L28" i="2"/>
  <c r="L49" i="2" s="1"/>
  <c r="C28" i="2"/>
  <c r="L27" i="2"/>
  <c r="B27" i="2"/>
  <c r="B26" i="2"/>
  <c r="O25" i="2"/>
  <c r="L25" i="2"/>
  <c r="G25" i="2"/>
  <c r="G28" i="2" s="1"/>
  <c r="D25" i="2"/>
  <c r="B25" i="2"/>
  <c r="B28" i="2" s="1"/>
  <c r="B49" i="2" s="1"/>
  <c r="B24" i="2"/>
  <c r="O20" i="2"/>
  <c r="L20" i="2"/>
  <c r="K20" i="2"/>
  <c r="J20" i="2"/>
  <c r="J173" i="2" s="1"/>
  <c r="C18" i="2"/>
  <c r="B18" i="2"/>
  <c r="D16" i="2"/>
  <c r="D18" i="2" s="1"/>
  <c r="D14" i="2"/>
  <c r="C14" i="2"/>
  <c r="C20" i="2" s="1"/>
  <c r="G12" i="2"/>
  <c r="B12" i="2"/>
  <c r="O10" i="2"/>
  <c r="B8" i="2"/>
  <c r="G7" i="2"/>
  <c r="G14" i="2" s="1"/>
  <c r="B7" i="2"/>
  <c r="B14" i="2" s="1"/>
  <c r="B20" i="2" s="1"/>
  <c r="O173" i="2" l="1"/>
  <c r="P49" i="2" s="1"/>
  <c r="M47" i="2"/>
  <c r="M36" i="2"/>
  <c r="M25" i="2"/>
  <c r="M37" i="2"/>
  <c r="M49" i="2"/>
  <c r="M35" i="2"/>
  <c r="G49" i="2"/>
  <c r="H40" i="2" s="1"/>
  <c r="B173" i="2"/>
  <c r="J175" i="2" s="1"/>
  <c r="M27" i="2"/>
  <c r="D148" i="2"/>
  <c r="D20" i="2"/>
  <c r="E16" i="2"/>
  <c r="K173" i="2"/>
  <c r="D28" i="2"/>
  <c r="M28" i="2"/>
  <c r="M66" i="2"/>
  <c r="M55" i="2"/>
  <c r="M58" i="2"/>
  <c r="C118" i="2"/>
  <c r="C173" i="2" s="1"/>
  <c r="D106" i="2"/>
  <c r="G135" i="2"/>
  <c r="H133" i="2" s="1"/>
  <c r="G166" i="2"/>
  <c r="D114" i="2"/>
  <c r="D94" i="2"/>
  <c r="G82" i="2"/>
  <c r="G84" i="2" s="1"/>
  <c r="G148" i="2"/>
  <c r="G150" i="2" s="1"/>
  <c r="H144" i="2" s="1"/>
  <c r="D131" i="2"/>
  <c r="D164" i="2"/>
  <c r="G116" i="2"/>
  <c r="G118" i="2" s="1"/>
  <c r="G96" i="2"/>
  <c r="D80" i="2"/>
  <c r="D62" i="2"/>
  <c r="P173" i="2"/>
  <c r="L173" i="2"/>
  <c r="N49" i="2" s="1"/>
  <c r="M20" i="2"/>
  <c r="M29" i="2"/>
  <c r="D44" i="2"/>
  <c r="M54" i="2"/>
  <c r="M56" i="2"/>
  <c r="G66" i="2"/>
  <c r="P66" i="2"/>
  <c r="M90" i="2"/>
  <c r="M98" i="2"/>
  <c r="L135" i="2"/>
  <c r="M123" i="2"/>
  <c r="B135" i="2"/>
  <c r="P150" i="2"/>
  <c r="M9" i="2"/>
  <c r="D36" i="2"/>
  <c r="D40" i="2"/>
  <c r="M88" i="2"/>
  <c r="D156" i="2"/>
  <c r="M160" i="2"/>
  <c r="L168" i="2"/>
  <c r="L118" i="2"/>
  <c r="M142" i="2"/>
  <c r="P168" i="2" l="1"/>
  <c r="P135" i="2"/>
  <c r="P98" i="2"/>
  <c r="P84" i="2"/>
  <c r="P118" i="2"/>
  <c r="P20" i="2"/>
  <c r="H126" i="2"/>
  <c r="H103" i="2"/>
  <c r="H109" i="2"/>
  <c r="H44" i="2"/>
  <c r="H47" i="2"/>
  <c r="H32" i="2"/>
  <c r="E40" i="2"/>
  <c r="H72" i="2"/>
  <c r="H78" i="2"/>
  <c r="D64" i="2"/>
  <c r="D96" i="2"/>
  <c r="D98" i="2" s="1"/>
  <c r="E148" i="2"/>
  <c r="D150" i="2"/>
  <c r="N98" i="2"/>
  <c r="E131" i="2"/>
  <c r="D133" i="2"/>
  <c r="D135" i="2" s="1"/>
  <c r="D116" i="2"/>
  <c r="D118" i="2" s="1"/>
  <c r="E114" i="2"/>
  <c r="N118" i="2"/>
  <c r="M118" i="2"/>
  <c r="M113" i="2"/>
  <c r="M110" i="2"/>
  <c r="H106" i="2"/>
  <c r="E36" i="2"/>
  <c r="G177" i="2"/>
  <c r="G98" i="2"/>
  <c r="H148" i="2"/>
  <c r="G168" i="2"/>
  <c r="E106" i="2"/>
  <c r="H64" i="2"/>
  <c r="N66" i="2"/>
  <c r="N150" i="2"/>
  <c r="H112" i="2"/>
  <c r="H36" i="2"/>
  <c r="N84" i="2"/>
  <c r="N173" i="2"/>
  <c r="M173" i="2"/>
  <c r="D166" i="2"/>
  <c r="D168" i="2" s="1"/>
  <c r="D49" i="2"/>
  <c r="E28" i="2"/>
  <c r="M135" i="2"/>
  <c r="M132" i="2"/>
  <c r="M128" i="2"/>
  <c r="M124" i="2"/>
  <c r="M125" i="2"/>
  <c r="M131" i="2"/>
  <c r="M130" i="2"/>
  <c r="N135" i="2"/>
  <c r="E44" i="2"/>
  <c r="D82" i="2"/>
  <c r="H129" i="2"/>
  <c r="E17" i="2"/>
  <c r="E10" i="2"/>
  <c r="E13" i="2"/>
  <c r="E11" i="2"/>
  <c r="E9" i="2"/>
  <c r="E7" i="2"/>
  <c r="E20" i="2"/>
  <c r="E8" i="2"/>
  <c r="E12" i="2"/>
  <c r="M162" i="2"/>
  <c r="N168" i="2"/>
  <c r="M159" i="2"/>
  <c r="M158" i="2"/>
  <c r="M156" i="2"/>
  <c r="M154" i="2"/>
  <c r="M168" i="2"/>
  <c r="M165" i="2"/>
  <c r="M163" i="2"/>
  <c r="M164" i="2"/>
  <c r="M157" i="2"/>
  <c r="M161" i="2"/>
  <c r="H60" i="2"/>
  <c r="N20" i="2"/>
  <c r="E14" i="2"/>
  <c r="H116" i="2"/>
  <c r="H82" i="2"/>
  <c r="K175" i="2"/>
  <c r="M104" i="2"/>
  <c r="E18" i="2"/>
  <c r="H28" i="2"/>
  <c r="E161" i="2" l="1"/>
  <c r="E160" i="2"/>
  <c r="E159" i="2"/>
  <c r="E155" i="2"/>
  <c r="E168" i="2"/>
  <c r="E158" i="2"/>
  <c r="E162" i="2"/>
  <c r="E154" i="2"/>
  <c r="E164" i="2"/>
  <c r="E156" i="2"/>
  <c r="H92" i="2"/>
  <c r="H162" i="2"/>
  <c r="H156" i="2"/>
  <c r="H96" i="2"/>
  <c r="E88" i="2"/>
  <c r="E98" i="2"/>
  <c r="E87" i="2"/>
  <c r="E92" i="2"/>
  <c r="E90" i="2"/>
  <c r="E91" i="2"/>
  <c r="H166" i="2"/>
  <c r="E118" i="2"/>
  <c r="E111" i="2"/>
  <c r="E108" i="2"/>
  <c r="E109" i="2"/>
  <c r="E112" i="2"/>
  <c r="E105" i="2"/>
  <c r="E94" i="2"/>
  <c r="D84" i="2"/>
  <c r="E49" i="2"/>
  <c r="E31" i="2"/>
  <c r="E27" i="2"/>
  <c r="E38" i="2"/>
  <c r="E26" i="2"/>
  <c r="E24" i="2"/>
  <c r="E46" i="2"/>
  <c r="E30" i="2"/>
  <c r="E34" i="2"/>
  <c r="E35" i="2"/>
  <c r="E33" i="2"/>
  <c r="E47" i="2"/>
  <c r="E25" i="2"/>
  <c r="E39" i="2"/>
  <c r="E42" i="2"/>
  <c r="E32" i="2"/>
  <c r="E123" i="2"/>
  <c r="E128" i="2"/>
  <c r="E124" i="2"/>
  <c r="E122" i="2"/>
  <c r="E125" i="2"/>
  <c r="E135" i="2"/>
  <c r="E126" i="2"/>
  <c r="E147" i="2"/>
  <c r="E141" i="2"/>
  <c r="E139" i="2"/>
  <c r="E150" i="2"/>
  <c r="E140" i="2"/>
  <c r="E146" i="2"/>
  <c r="E142" i="2"/>
  <c r="E144" i="2"/>
  <c r="D66" i="2"/>
  <c r="E64" i="2"/>
  <c r="G173" i="2"/>
  <c r="H98" i="2" s="1"/>
  <c r="H168" i="2" l="1"/>
  <c r="H173" i="2"/>
  <c r="O175" i="2"/>
  <c r="H84" i="2"/>
  <c r="H150" i="2"/>
  <c r="H49" i="2"/>
  <c r="H20" i="2"/>
  <c r="H118" i="2"/>
  <c r="H135" i="2"/>
  <c r="H66" i="2"/>
  <c r="E84" i="2"/>
  <c r="E74" i="2"/>
  <c r="E78" i="2"/>
  <c r="E70" i="2"/>
  <c r="E72" i="2"/>
  <c r="E81" i="2"/>
  <c r="E62" i="2"/>
  <c r="E80" i="2"/>
  <c r="E66" i="2"/>
  <c r="E54" i="2"/>
  <c r="E57" i="2"/>
  <c r="E55" i="2"/>
  <c r="E60" i="2"/>
  <c r="E53" i="2"/>
  <c r="E63" i="2"/>
  <c r="D173" i="2"/>
  <c r="F84" i="2" s="1"/>
  <c r="E82" i="2"/>
  <c r="F66" i="2" l="1"/>
  <c r="F173" i="2"/>
  <c r="E173" i="2"/>
  <c r="F171" i="2"/>
  <c r="F20" i="2"/>
  <c r="L175" i="2"/>
  <c r="F168" i="2"/>
  <c r="F118" i="2"/>
  <c r="F49" i="2"/>
  <c r="F150" i="2"/>
  <c r="F135" i="2"/>
  <c r="F98" i="2"/>
</calcChain>
</file>

<file path=xl/comments1.xml><?xml version="1.0" encoding="utf-8"?>
<comments xmlns="http://schemas.openxmlformats.org/spreadsheetml/2006/main">
  <authors>
    <author>Utilisateur</author>
    <author>Jean-Pierre Rouquier</author>
  </authors>
  <commentList>
    <comment ref="D35" authorId="0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Restitution sur 2021 2562,07
Non versement solde 2020 3600,00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Restitution sur 2021 2562,07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Non versement solde 2020 1800,00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Restitution sur 2021 1792,77
Non vesement sur 2020 3300,00
</t>
        </r>
      </text>
    </comment>
    <comment ref="C142" authorId="1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COT 3000; CSO ; HT NIV 0 : Marche 8100 ; CSE 600 ; Running ; 2000 ; HSP 0 ; Comm 5850 ; Masters ; 1500 ; Formation 0 ; Médical 2000</t>
        </r>
      </text>
    </comment>
    <comment ref="D142" authorId="0" shapeId="0">
      <text>
        <r>
          <rPr>
            <b/>
            <sz val="9"/>
            <color indexed="81"/>
            <rFont val="Tahoma"/>
            <family val="2"/>
          </rPr>
          <t>Utilisateur:
HT NIV / 18
0,76 COMMUNICATION / 7113,83 COT / 500 RUNNING / 2165,17 CRJ / 472,60 RM / 2680,89 CSE / 670,34  CSO / 788,34  CSR / 136,76</t>
        </r>
      </text>
    </comment>
    <comment ref="G142" authorId="0" shapeId="0">
      <text>
        <r>
          <rPr>
            <b/>
            <sz val="9"/>
            <color indexed="81"/>
            <rFont val="Tahoma"/>
            <family val="2"/>
          </rPr>
          <t>Utilisateur:
HT NIV / 250 COMMUNICATION / 1000 COT / 500 RUNNING / 2000 CRJ / 500 CRM / 2500 CSE / 500  CSO / 800  CSR / 150</t>
        </r>
      </text>
    </comment>
  </commentList>
</comments>
</file>

<file path=xl/sharedStrings.xml><?xml version="1.0" encoding="utf-8"?>
<sst xmlns="http://schemas.openxmlformats.org/spreadsheetml/2006/main" count="227" uniqueCount="173">
  <si>
    <t>CHARGES</t>
  </si>
  <si>
    <t>PRODUITS</t>
  </si>
  <si>
    <t>Réalisations</t>
  </si>
  <si>
    <t>Prévision</t>
  </si>
  <si>
    <t>Réalisation</t>
  </si>
  <si>
    <t>Prévisions</t>
  </si>
  <si>
    <t>1 ATHLETISME COMPETITIONS</t>
  </si>
  <si>
    <t>Inscription hors ligue / Pénalités</t>
  </si>
  <si>
    <t xml:space="preserve">          Championnats Inter clubs</t>
  </si>
  <si>
    <t>Droits inscription des clubs</t>
  </si>
  <si>
    <t xml:space="preserve">          Championnats Masters</t>
  </si>
  <si>
    <t xml:space="preserve">          Championnat Cross</t>
  </si>
  <si>
    <t xml:space="preserve">          Circuit des meetings</t>
  </si>
  <si>
    <t>1A. Championnats régionaux sur piste</t>
  </si>
  <si>
    <t>Produits exceptionnels</t>
  </si>
  <si>
    <t xml:space="preserve">         Salaires</t>
  </si>
  <si>
    <t>Conseil Régional Aide emploi</t>
  </si>
  <si>
    <t xml:space="preserve">         Frais de fonctionnement</t>
  </si>
  <si>
    <t>Partenariats</t>
  </si>
  <si>
    <t>1B. Salaires &amp; Fonctionnement</t>
  </si>
  <si>
    <t>Renonciation RBT frais</t>
  </si>
  <si>
    <t>Sous-total ATHLETISME COMPETITIONS</t>
  </si>
  <si>
    <t>2 SUIVI ATHLETES</t>
  </si>
  <si>
    <t xml:space="preserve">          Stages / Compétitions</t>
  </si>
  <si>
    <t>Stages</t>
  </si>
  <si>
    <t xml:space="preserve">          Entrainements</t>
  </si>
  <si>
    <t xml:space="preserve">          Suivi scolaire/Sportif/Médical</t>
  </si>
  <si>
    <t>Partenariats; équipement</t>
  </si>
  <si>
    <t>Conseil Régional</t>
  </si>
  <si>
    <t>2A. Suivi athlètes POLE &amp; CER</t>
  </si>
  <si>
    <t>Inscriptions</t>
  </si>
  <si>
    <t>Produits excéptionnels</t>
  </si>
  <si>
    <t>2A1. Salaires &amp; Fonctionnement POLE &amp; PER</t>
  </si>
  <si>
    <t>ASP</t>
  </si>
  <si>
    <t>PSF-ANS</t>
  </si>
  <si>
    <t>2B. Suivi athlètes régionaux</t>
  </si>
  <si>
    <t xml:space="preserve">         Déplacements</t>
  </si>
  <si>
    <t>2D. Salaires &amp; Fonctionnement</t>
  </si>
  <si>
    <t>Fonds dediés</t>
  </si>
  <si>
    <t xml:space="preserve">         Fonctionnement ETR</t>
  </si>
  <si>
    <t>2E. ETR</t>
  </si>
  <si>
    <t>Sous-total SUIVI ATHLETES</t>
  </si>
  <si>
    <t>3 ATHLETISME DES JEUNES</t>
  </si>
  <si>
    <t xml:space="preserve">          Développement PASS'ATHLE</t>
  </si>
  <si>
    <t xml:space="preserve">          Stages</t>
  </si>
  <si>
    <t xml:space="preserve">          Sélection équipe</t>
  </si>
  <si>
    <t xml:space="preserve">          ETR Jeunes</t>
  </si>
  <si>
    <t>3A. Suivi athlètes jeunes</t>
  </si>
  <si>
    <t>FFA (50*110) / cross</t>
  </si>
  <si>
    <t>Fonds dédiés</t>
  </si>
  <si>
    <t>3B. Salaires &amp; Fonctionnement</t>
  </si>
  <si>
    <t>Sous-total ATHLETISME DES JEUNES</t>
  </si>
  <si>
    <t>4 ATHLETISME RUNNING</t>
  </si>
  <si>
    <t xml:space="preserve">          Courses labellisées</t>
  </si>
  <si>
    <t>4A. Courses sur routes</t>
  </si>
  <si>
    <t xml:space="preserve">          Cross</t>
  </si>
  <si>
    <t xml:space="preserve">4B. Autres pratiques </t>
  </si>
  <si>
    <t>4C. Salaires &amp; Fonctionnement</t>
  </si>
  <si>
    <t>Sous-total ATHLETISME RUNNING</t>
  </si>
  <si>
    <t>5 ATHLE SANTE LOISIRS</t>
  </si>
  <si>
    <t xml:space="preserve">          Développement de l'activité ASL</t>
  </si>
  <si>
    <t xml:space="preserve">          Marche Nordique Patrimoine Tour</t>
  </si>
  <si>
    <t xml:space="preserve">          Tous en forme en Nouvelle-Aquitaine</t>
  </si>
  <si>
    <t>Prestations</t>
  </si>
  <si>
    <t>5A. Promotion ASL</t>
  </si>
  <si>
    <t>Dons</t>
  </si>
  <si>
    <t>5B. Salaires &amp; Fonctionnement</t>
  </si>
  <si>
    <t>Sous-total ATHLE SANTE LOISIRS</t>
  </si>
  <si>
    <t>6 FORMATIONS</t>
  </si>
  <si>
    <t xml:space="preserve">          Formation des dirigeants </t>
  </si>
  <si>
    <t>Conseil Régional / FFA / ANS</t>
  </si>
  <si>
    <t>6A. Formation Dirigeants</t>
  </si>
  <si>
    <t xml:space="preserve">Conseil Régional / FFA </t>
  </si>
  <si>
    <t xml:space="preserve">          Formation des officiels </t>
  </si>
  <si>
    <t>6B. Formation Officiels</t>
  </si>
  <si>
    <t xml:space="preserve">          Formation des entraineurs</t>
  </si>
  <si>
    <t>6C. Formation Entraineurs</t>
  </si>
  <si>
    <t xml:space="preserve">          Formation des salariés </t>
  </si>
  <si>
    <t>OPCA / OPCO / Transfert de charges</t>
  </si>
  <si>
    <t>6D. Formation Salariés</t>
  </si>
  <si>
    <t>6E. Salaires &amp; Fonctionnement</t>
  </si>
  <si>
    <t>Sous-total FORMATION</t>
  </si>
  <si>
    <t>7  STRUCTURATION DES CLUBS &amp; ANIMATION TERRITORIALE</t>
  </si>
  <si>
    <t xml:space="preserve">          Relations avec Comités</t>
  </si>
  <si>
    <t xml:space="preserve">          Relations autres (Clubs, Collectivités)</t>
  </si>
  <si>
    <t>Clubs radiés</t>
  </si>
  <si>
    <t>7A. Relations</t>
  </si>
  <si>
    <t xml:space="preserve">          Soirées de l'Athlé</t>
  </si>
  <si>
    <t xml:space="preserve">          Site Internet / OVH</t>
  </si>
  <si>
    <t>7B. Gestion des adhérents et des clubs</t>
  </si>
  <si>
    <t>Droits de mutation</t>
  </si>
  <si>
    <t>Conseil régional</t>
  </si>
  <si>
    <t>7C. Salaires &amp; Fonctionnement</t>
  </si>
  <si>
    <t>Sous-total  STRUCTURATION DES CLUBS &amp; ANIMATION TERRITORIALE</t>
  </si>
  <si>
    <t>8 STRUCTURE REGIONALE</t>
  </si>
  <si>
    <t>FFA aides AG fédérale</t>
  </si>
  <si>
    <t xml:space="preserve">          Comité Directeur</t>
  </si>
  <si>
    <t>Pénalités</t>
  </si>
  <si>
    <t xml:space="preserve">          Bureau Exécutif</t>
  </si>
  <si>
    <t xml:space="preserve">          Commissions régionales</t>
  </si>
  <si>
    <t>Participations athlètes</t>
  </si>
  <si>
    <t>8A. Structures régionales</t>
  </si>
  <si>
    <t xml:space="preserve">         Frais de fct (médailles &amp; récompenses)</t>
  </si>
  <si>
    <t>8B. Salaires &amp; Fonctionnement</t>
  </si>
  <si>
    <t>Sous-total STRUCTURE REGIONALE</t>
  </si>
  <si>
    <t>9 ADMINISTRATION</t>
  </si>
  <si>
    <t xml:space="preserve">          Affranchissements, Téléphone, Internet</t>
  </si>
  <si>
    <t xml:space="preserve">          Honoraires et autres services extérieurs</t>
  </si>
  <si>
    <t>9A. Communication</t>
  </si>
  <si>
    <t>Report exercice n-1</t>
  </si>
  <si>
    <t xml:space="preserve">          Fournitures, Locations, Entretien</t>
  </si>
  <si>
    <t>Aides COVID</t>
  </si>
  <si>
    <t xml:space="preserve">          Impôts, Assurances, Frais bancaires</t>
  </si>
  <si>
    <t>Transfert de charges</t>
  </si>
  <si>
    <t xml:space="preserve">          Dotations aux amortissements</t>
  </si>
  <si>
    <t>9B. Siège régional</t>
  </si>
  <si>
    <t>Produits financiers</t>
  </si>
  <si>
    <t>Produits gestion courante</t>
  </si>
  <si>
    <t>9C. Salaires &amp; Fonctionnement</t>
  </si>
  <si>
    <t>Sous-total ADMINISTRATION</t>
  </si>
  <si>
    <t xml:space="preserve">        *** RESERVE</t>
  </si>
  <si>
    <t>TOTAL GENERAL DES CHARGES</t>
  </si>
  <si>
    <t xml:space="preserve">TOTAL GENERAL DES PRODUITS </t>
  </si>
  <si>
    <t>Rappel résultats</t>
  </si>
  <si>
    <t xml:space="preserve">          Aides à la performance</t>
  </si>
  <si>
    <t>ANS / ETR</t>
  </si>
  <si>
    <t xml:space="preserve">          Animation plage</t>
  </si>
  <si>
    <t xml:space="preserve">          Championnats hivernaux</t>
  </si>
  <si>
    <t xml:space="preserve">          Equipement/Tenues</t>
  </si>
  <si>
    <t xml:space="preserve">        Kiné Chpt France</t>
  </si>
  <si>
    <t xml:space="preserve">         Stages régionaux</t>
  </si>
  <si>
    <t xml:space="preserve">         Sélection match</t>
  </si>
  <si>
    <t>Transfert charges</t>
  </si>
  <si>
    <t>Inscriptions / connexions</t>
  </si>
  <si>
    <t xml:space="preserve">         *** Salaires à répartir</t>
  </si>
  <si>
    <t xml:space="preserve">          Equip'Athlé</t>
  </si>
  <si>
    <t>PSF ANS Structures</t>
  </si>
  <si>
    <t xml:space="preserve">Mise à Disposition </t>
  </si>
  <si>
    <t>Conseil Régional (Tenues)</t>
  </si>
  <si>
    <t>Inscriptions / Transfert de charges</t>
  </si>
  <si>
    <t>Reprise provision retraite</t>
  </si>
  <si>
    <t>LANA  BILAN ACTIONS 2022 / PREVISION BUDGET 2023</t>
  </si>
  <si>
    <t xml:space="preserve">          Championnats estivaux</t>
  </si>
  <si>
    <t>Subv investissement CR N-A</t>
  </si>
  <si>
    <t>Conseil Régional Aide perso</t>
  </si>
  <si>
    <t xml:space="preserve">         Job Dating</t>
  </si>
  <si>
    <t>Job Dating</t>
  </si>
  <si>
    <t xml:space="preserve">          AG  LANA &amp; FFA</t>
  </si>
  <si>
    <t xml:space="preserve">          ETR</t>
  </si>
  <si>
    <t xml:space="preserve">          Défis Athlé Forme Santé</t>
  </si>
  <si>
    <t>Droits labellisation Route</t>
  </si>
  <si>
    <t>Droits labellisation Cross</t>
  </si>
  <si>
    <t>Droits labellisation Trail</t>
  </si>
  <si>
    <t>PSF-ANS Univer'trail,</t>
  </si>
  <si>
    <t>Reprise exercice N-1</t>
  </si>
  <si>
    <t xml:space="preserve">          Championnats marche Nordique</t>
  </si>
  <si>
    <t>Animation plage CR N-A</t>
  </si>
  <si>
    <t>Animation plage FFA</t>
  </si>
  <si>
    <t>% Action</t>
  </si>
  <si>
    <t>% Budget</t>
  </si>
  <si>
    <t>Droits labellisation Marche Nordique</t>
  </si>
  <si>
    <t xml:space="preserve">          Marche nordique</t>
  </si>
  <si>
    <t xml:space="preserve">          Trail (Courses nature)</t>
  </si>
  <si>
    <t>CR-NA soirée athlé</t>
  </si>
  <si>
    <t>Reprise provision dette pénale</t>
  </si>
  <si>
    <t>Aide emploi FFA &amp; ASP</t>
  </si>
  <si>
    <t>Prod exceptionnels/Repéchage</t>
  </si>
  <si>
    <t>2C. Championnats de France</t>
  </si>
  <si>
    <t>Cotisations part clubs</t>
  </si>
  <si>
    <t>Cotisations part individuelles</t>
  </si>
  <si>
    <t>Com Dir du 08/05/2023 AG du 10/06/2023</t>
  </si>
  <si>
    <t>ASP / Apprentis</t>
  </si>
  <si>
    <t>Aide FFA Agent dévellopement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</si>
</sst>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8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DD7EE"/>
        <bgColor indexed="64"/>
      </patternFill>
    </fill>
  </fills>
  <borders count="6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16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10" fontId="5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0" borderId="6" xfId="0" applyFont="1" applyBorder="1"/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7" xfId="0" applyNumberFormat="1" applyFont="1" applyBorder="1"/>
    <xf numFmtId="0" fontId="4" fillId="0" borderId="14" xfId="0" applyFont="1" applyBorder="1"/>
    <xf numFmtId="0" fontId="4" fillId="0" borderId="15" xfId="0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0" fontId="4" fillId="0" borderId="6" xfId="0" applyFont="1" applyBorder="1"/>
    <xf numFmtId="4" fontId="3" fillId="0" borderId="18" xfId="0" applyNumberFormat="1" applyFont="1" applyBorder="1"/>
    <xf numFmtId="0" fontId="6" fillId="2" borderId="15" xfId="0" applyFont="1" applyFill="1" applyBorder="1"/>
    <xf numFmtId="4" fontId="5" fillId="2" borderId="16" xfId="0" applyNumberFormat="1" applyFont="1" applyFill="1" applyBorder="1"/>
    <xf numFmtId="4" fontId="5" fillId="4" borderId="16" xfId="0" applyNumberFormat="1" applyFont="1" applyFill="1" applyBorder="1"/>
    <xf numFmtId="0" fontId="7" fillId="0" borderId="0" xfId="0" applyFont="1"/>
    <xf numFmtId="0" fontId="3" fillId="0" borderId="20" xfId="0" applyFont="1" applyBorder="1"/>
    <xf numFmtId="4" fontId="3" fillId="0" borderId="21" xfId="0" applyNumberFormat="1" applyFont="1" applyBorder="1"/>
    <xf numFmtId="0" fontId="4" fillId="0" borderId="22" xfId="0" applyFont="1" applyBorder="1"/>
    <xf numFmtId="4" fontId="3" fillId="0" borderId="23" xfId="0" applyNumberFormat="1" applyFont="1" applyBorder="1"/>
    <xf numFmtId="0" fontId="6" fillId="3" borderId="25" xfId="0" applyFont="1" applyFill="1" applyBorder="1"/>
    <xf numFmtId="4" fontId="4" fillId="3" borderId="2" xfId="0" applyNumberFormat="1" applyFont="1" applyFill="1" applyBorder="1"/>
    <xf numFmtId="0" fontId="4" fillId="3" borderId="22" xfId="0" applyFont="1" applyFill="1" applyBorder="1"/>
    <xf numFmtId="4" fontId="7" fillId="0" borderId="0" xfId="0" applyNumberFormat="1" applyFont="1"/>
    <xf numFmtId="0" fontId="3" fillId="0" borderId="26" xfId="0" applyFont="1" applyBorder="1"/>
    <xf numFmtId="4" fontId="3" fillId="0" borderId="26" xfId="0" applyNumberFormat="1" applyFont="1" applyBorder="1"/>
    <xf numFmtId="0" fontId="4" fillId="0" borderId="26" xfId="0" applyFont="1" applyBorder="1"/>
    <xf numFmtId="4" fontId="6" fillId="2" borderId="16" xfId="0" applyNumberFormat="1" applyFont="1" applyFill="1" applyBorder="1"/>
    <xf numFmtId="0" fontId="3" fillId="0" borderId="15" xfId="0" applyFont="1" applyBorder="1"/>
    <xf numFmtId="4" fontId="4" fillId="0" borderId="16" xfId="0" applyNumberFormat="1" applyFont="1" applyBorder="1"/>
    <xf numFmtId="0" fontId="6" fillId="0" borderId="29" xfId="0" applyFont="1" applyBorder="1"/>
    <xf numFmtId="0" fontId="4" fillId="3" borderId="25" xfId="0" applyFont="1" applyFill="1" applyBorder="1"/>
    <xf numFmtId="4" fontId="4" fillId="3" borderId="30" xfId="0" applyNumberFormat="1" applyFont="1" applyFill="1" applyBorder="1"/>
    <xf numFmtId="0" fontId="6" fillId="0" borderId="31" xfId="0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3" fillId="0" borderId="33" xfId="0" applyNumberFormat="1" applyFont="1" applyBorder="1"/>
    <xf numFmtId="0" fontId="4" fillId="0" borderId="3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35" xfId="0" applyFont="1" applyBorder="1"/>
    <xf numFmtId="0" fontId="3" fillId="0" borderId="31" xfId="0" applyFont="1" applyBorder="1"/>
    <xf numFmtId="4" fontId="3" fillId="0" borderId="32" xfId="0" applyNumberFormat="1" applyFont="1" applyBorder="1"/>
    <xf numFmtId="4" fontId="3" fillId="0" borderId="36" xfId="0" applyNumberFormat="1" applyFont="1" applyBorder="1"/>
    <xf numFmtId="0" fontId="8" fillId="0" borderId="15" xfId="0" applyFont="1" applyBorder="1"/>
    <xf numFmtId="4" fontId="3" fillId="0" borderId="37" xfId="0" applyNumberFormat="1" applyFont="1" applyBorder="1"/>
    <xf numFmtId="0" fontId="3" fillId="0" borderId="22" xfId="0" applyFont="1" applyBorder="1"/>
    <xf numFmtId="4" fontId="3" fillId="0" borderId="39" xfId="0" applyNumberFormat="1" applyFont="1" applyBorder="1"/>
    <xf numFmtId="49" fontId="9" fillId="0" borderId="0" xfId="0" applyNumberFormat="1" applyFont="1"/>
    <xf numFmtId="49" fontId="10" fillId="0" borderId="0" xfId="0" applyNumberFormat="1" applyFont="1"/>
    <xf numFmtId="0" fontId="10" fillId="0" borderId="0" xfId="0" applyFont="1"/>
    <xf numFmtId="0" fontId="9" fillId="0" borderId="0" xfId="0" applyFont="1"/>
    <xf numFmtId="0" fontId="4" fillId="0" borderId="31" xfId="0" applyFont="1" applyBorder="1"/>
    <xf numFmtId="4" fontId="3" fillId="0" borderId="40" xfId="0" applyNumberFormat="1" applyFont="1" applyBorder="1"/>
    <xf numFmtId="0" fontId="6" fillId="0" borderId="15" xfId="0" applyFont="1" applyBorder="1"/>
    <xf numFmtId="4" fontId="3" fillId="0" borderId="41" xfId="0" applyNumberFormat="1" applyFont="1" applyBorder="1"/>
    <xf numFmtId="0" fontId="4" fillId="0" borderId="20" xfId="0" applyFont="1" applyBorder="1"/>
    <xf numFmtId="4" fontId="3" fillId="0" borderId="42" xfId="0" applyNumberFormat="1" applyFont="1" applyBorder="1"/>
    <xf numFmtId="4" fontId="3" fillId="0" borderId="43" xfId="0" applyNumberFormat="1" applyFont="1" applyBorder="1"/>
    <xf numFmtId="4" fontId="6" fillId="3" borderId="2" xfId="0" applyNumberFormat="1" applyFont="1" applyFill="1" applyBorder="1"/>
    <xf numFmtId="4" fontId="6" fillId="3" borderId="3" xfId="0" applyNumberFormat="1" applyFont="1" applyFill="1" applyBorder="1"/>
    <xf numFmtId="4" fontId="6" fillId="3" borderId="44" xfId="0" applyNumberFormat="1" applyFont="1" applyFill="1" applyBorder="1"/>
    <xf numFmtId="0" fontId="11" fillId="0" borderId="0" xfId="0" applyFont="1"/>
    <xf numFmtId="4" fontId="11" fillId="0" borderId="0" xfId="0" applyNumberFormat="1" applyFont="1"/>
    <xf numFmtId="4" fontId="2" fillId="0" borderId="0" xfId="0" applyNumberFormat="1" applyFont="1"/>
    <xf numFmtId="4" fontId="5" fillId="0" borderId="0" xfId="0" applyNumberFormat="1" applyFont="1" applyAlignment="1">
      <alignment horizontal="center"/>
    </xf>
    <xf numFmtId="4" fontId="12" fillId="0" borderId="0" xfId="0" applyNumberFormat="1" applyFont="1"/>
    <xf numFmtId="4" fontId="6" fillId="3" borderId="24" xfId="0" applyNumberFormat="1" applyFont="1" applyFill="1" applyBorder="1"/>
    <xf numFmtId="4" fontId="6" fillId="3" borderId="23" xfId="0" applyNumberFormat="1" applyFont="1" applyFill="1" applyBorder="1"/>
    <xf numFmtId="4" fontId="6" fillId="0" borderId="3" xfId="0" applyNumberFormat="1" applyFont="1" applyBorder="1"/>
    <xf numFmtId="4" fontId="5" fillId="0" borderId="38" xfId="0" applyNumberFormat="1" applyFont="1" applyBorder="1"/>
    <xf numFmtId="4" fontId="5" fillId="0" borderId="4" xfId="0" applyNumberFormat="1" applyFont="1" applyBorder="1"/>
    <xf numFmtId="4" fontId="4" fillId="3" borderId="23" xfId="0" applyNumberFormat="1" applyFont="1" applyFill="1" applyBorder="1"/>
    <xf numFmtId="4" fontId="6" fillId="2" borderId="45" xfId="0" applyNumberFormat="1" applyFont="1" applyFill="1" applyBorder="1"/>
    <xf numFmtId="4" fontId="6" fillId="2" borderId="41" xfId="0" applyNumberFormat="1" applyFont="1" applyFill="1" applyBorder="1"/>
    <xf numFmtId="4" fontId="5" fillId="2" borderId="41" xfId="0" applyNumberFormat="1" applyFont="1" applyFill="1" applyBorder="1"/>
    <xf numFmtId="4" fontId="3" fillId="0" borderId="46" xfId="0" applyNumberFormat="1" applyFont="1" applyBorder="1"/>
    <xf numFmtId="4" fontId="3" fillId="0" borderId="47" xfId="0" applyNumberFormat="1" applyFont="1" applyBorder="1"/>
    <xf numFmtId="4" fontId="3" fillId="0" borderId="48" xfId="0" applyNumberFormat="1" applyFont="1" applyBorder="1"/>
    <xf numFmtId="4" fontId="5" fillId="4" borderId="41" xfId="0" applyNumberFormat="1" applyFont="1" applyFill="1" applyBorder="1"/>
    <xf numFmtId="4" fontId="13" fillId="0" borderId="0" xfId="0" applyNumberFormat="1" applyFont="1"/>
    <xf numFmtId="0" fontId="0" fillId="0" borderId="31" xfId="0" applyBorder="1"/>
    <xf numFmtId="4" fontId="3" fillId="0" borderId="34" xfId="0" applyNumberFormat="1" applyFont="1" applyBorder="1"/>
    <xf numFmtId="4" fontId="3" fillId="0" borderId="27" xfId="0" applyNumberFormat="1" applyFont="1" applyBorder="1"/>
    <xf numFmtId="4" fontId="4" fillId="3" borderId="38" xfId="0" applyNumberFormat="1" applyFont="1" applyFill="1" applyBorder="1"/>
    <xf numFmtId="4" fontId="3" fillId="0" borderId="8" xfId="0" applyNumberFormat="1" applyFont="1" applyBorder="1"/>
    <xf numFmtId="4" fontId="0" fillId="0" borderId="34" xfId="0" applyNumberFormat="1" applyBorder="1" applyAlignment="1">
      <alignment horizontal="center"/>
    </xf>
    <xf numFmtId="4" fontId="16" fillId="0" borderId="0" xfId="0" applyNumberFormat="1" applyFont="1"/>
    <xf numFmtId="4" fontId="3" fillId="0" borderId="49" xfId="0" applyNumberFormat="1" applyFont="1" applyBorder="1"/>
    <xf numFmtId="4" fontId="0" fillId="0" borderId="0" xfId="0" applyNumberFormat="1"/>
    <xf numFmtId="4" fontId="13" fillId="0" borderId="36" xfId="0" applyNumberFormat="1" applyFont="1" applyBorder="1"/>
    <xf numFmtId="10" fontId="3" fillId="0" borderId="0" xfId="0" applyNumberFormat="1" applyFont="1"/>
    <xf numFmtId="10" fontId="3" fillId="0" borderId="7" xfId="0" applyNumberFormat="1" applyFont="1" applyBorder="1"/>
    <xf numFmtId="10" fontId="3" fillId="0" borderId="41" xfId="0" applyNumberFormat="1" applyFont="1" applyBorder="1"/>
    <xf numFmtId="10" fontId="3" fillId="0" borderId="16" xfId="0" applyNumberFormat="1" applyFont="1" applyBorder="1"/>
    <xf numFmtId="10" fontId="5" fillId="2" borderId="16" xfId="0" applyNumberFormat="1" applyFont="1" applyFill="1" applyBorder="1"/>
    <xf numFmtId="10" fontId="5" fillId="4" borderId="16" xfId="0" applyNumberFormat="1" applyFont="1" applyFill="1" applyBorder="1"/>
    <xf numFmtId="10" fontId="3" fillId="0" borderId="21" xfId="0" applyNumberFormat="1" applyFont="1" applyBorder="1"/>
    <xf numFmtId="10" fontId="6" fillId="3" borderId="2" xfId="0" applyNumberFormat="1" applyFont="1" applyFill="1" applyBorder="1"/>
    <xf numFmtId="10" fontId="3" fillId="0" borderId="26" xfId="0" applyNumberFormat="1" applyFont="1" applyBorder="1"/>
    <xf numFmtId="10" fontId="3" fillId="0" borderId="50" xfId="0" applyNumberFormat="1" applyFont="1" applyBorder="1"/>
    <xf numFmtId="10" fontId="6" fillId="2" borderId="16" xfId="0" applyNumberFormat="1" applyFont="1" applyFill="1" applyBorder="1"/>
    <xf numFmtId="10" fontId="3" fillId="0" borderId="18" xfId="0" applyNumberFormat="1" applyFont="1" applyBorder="1"/>
    <xf numFmtId="10" fontId="3" fillId="0" borderId="51" xfId="0" applyNumberFormat="1" applyFont="1" applyBorder="1"/>
    <xf numFmtId="10" fontId="3" fillId="0" borderId="33" xfId="0" applyNumberFormat="1" applyFont="1" applyBorder="1"/>
    <xf numFmtId="10" fontId="3" fillId="0" borderId="36" xfId="0" applyNumberFormat="1" applyFont="1" applyBorder="1"/>
    <xf numFmtId="10" fontId="3" fillId="0" borderId="23" xfId="0" applyNumberFormat="1" applyFont="1" applyBorder="1"/>
    <xf numFmtId="10" fontId="3" fillId="0" borderId="39" xfId="0" applyNumberFormat="1" applyFont="1" applyBorder="1"/>
    <xf numFmtId="10" fontId="11" fillId="0" borderId="0" xfId="0" applyNumberFormat="1" applyFont="1"/>
    <xf numFmtId="10" fontId="13" fillId="0" borderId="0" xfId="0" applyNumberFormat="1" applyFont="1"/>
    <xf numFmtId="10" fontId="12" fillId="0" borderId="0" xfId="0" applyNumberFormat="1" applyFont="1"/>
    <xf numFmtId="4" fontId="4" fillId="3" borderId="3" xfId="0" applyNumberFormat="1" applyFont="1" applyFill="1" applyBorder="1"/>
    <xf numFmtId="4" fontId="3" fillId="0" borderId="53" xfId="0" applyNumberFormat="1" applyFont="1" applyBorder="1"/>
    <xf numFmtId="10" fontId="6" fillId="3" borderId="52" xfId="0" applyNumberFormat="1" applyFont="1" applyFill="1" applyBorder="1"/>
    <xf numFmtId="10" fontId="0" fillId="0" borderId="7" xfId="0" applyNumberFormat="1" applyBorder="1" applyAlignment="1">
      <alignment horizontal="center"/>
    </xf>
    <xf numFmtId="10" fontId="3" fillId="0" borderId="32" xfId="0" applyNumberFormat="1" applyFont="1" applyBorder="1"/>
    <xf numFmtId="10" fontId="5" fillId="0" borderId="38" xfId="0" applyNumberFormat="1" applyFont="1" applyBorder="1"/>
    <xf numFmtId="10" fontId="6" fillId="3" borderId="55" xfId="0" applyNumberFormat="1" applyFont="1" applyFill="1" applyBorder="1"/>
    <xf numFmtId="4" fontId="13" fillId="0" borderId="46" xfId="0" applyNumberFormat="1" applyFont="1" applyBorder="1"/>
    <xf numFmtId="4" fontId="3" fillId="0" borderId="56" xfId="0" applyNumberFormat="1" applyFont="1" applyBorder="1"/>
    <xf numFmtId="10" fontId="5" fillId="2" borderId="17" xfId="0" applyNumberFormat="1" applyFont="1" applyFill="1" applyBorder="1"/>
    <xf numFmtId="10" fontId="3" fillId="0" borderId="34" xfId="0" applyNumberFormat="1" applyFont="1" applyBorder="1"/>
    <xf numFmtId="10" fontId="13" fillId="0" borderId="54" xfId="0" applyNumberFormat="1" applyFont="1" applyBorder="1"/>
    <xf numFmtId="10" fontId="3" fillId="0" borderId="54" xfId="0" applyNumberFormat="1" applyFont="1" applyBorder="1"/>
    <xf numFmtId="10" fontId="5" fillId="4" borderId="54" xfId="0" applyNumberFormat="1" applyFont="1" applyFill="1" applyBorder="1"/>
    <xf numFmtId="10" fontId="3" fillId="0" borderId="27" xfId="0" applyNumberFormat="1" applyFont="1" applyBorder="1"/>
    <xf numFmtId="10" fontId="6" fillId="2" borderId="54" xfId="0" applyNumberFormat="1" applyFont="1" applyFill="1" applyBorder="1"/>
    <xf numFmtId="10" fontId="13" fillId="0" borderId="34" xfId="0" applyNumberFormat="1" applyFont="1" applyBorder="1"/>
    <xf numFmtId="10" fontId="3" fillId="0" borderId="53" xfId="0" applyNumberFormat="1" applyFont="1" applyBorder="1"/>
    <xf numFmtId="10" fontId="3" fillId="0" borderId="46" xfId="0" applyNumberFormat="1" applyFont="1" applyBorder="1"/>
    <xf numFmtId="10" fontId="13" fillId="0" borderId="46" xfId="0" applyNumberFormat="1" applyFont="1" applyBorder="1"/>
    <xf numFmtId="10" fontId="3" fillId="0" borderId="56" xfId="0" applyNumberFormat="1" applyFont="1" applyBorder="1"/>
    <xf numFmtId="10" fontId="2" fillId="0" borderId="0" xfId="0" applyNumberFormat="1" applyFont="1"/>
    <xf numFmtId="4" fontId="3" fillId="0" borderId="51" xfId="0" applyNumberFormat="1" applyFont="1" applyBorder="1"/>
    <xf numFmtId="10" fontId="3" fillId="0" borderId="28" xfId="0" applyNumberFormat="1" applyFont="1" applyBorder="1"/>
    <xf numFmtId="10" fontId="13" fillId="0" borderId="17" xfId="0" applyNumberFormat="1" applyFont="1" applyBorder="1"/>
    <xf numFmtId="10" fontId="3" fillId="0" borderId="17" xfId="0" applyNumberFormat="1" applyFont="1" applyBorder="1"/>
    <xf numFmtId="10" fontId="6" fillId="2" borderId="17" xfId="0" applyNumberFormat="1" applyFont="1" applyFill="1" applyBorder="1"/>
    <xf numFmtId="0" fontId="6" fillId="0" borderId="57" xfId="0" applyFont="1" applyBorder="1" applyAlignment="1">
      <alignment horizontal="center" vertical="center"/>
    </xf>
    <xf numFmtId="10" fontId="16" fillId="0" borderId="7" xfId="0" applyNumberFormat="1" applyFont="1" applyBorder="1" applyAlignment="1">
      <alignment horizontal="center" vertical="center"/>
    </xf>
    <xf numFmtId="10" fontId="16" fillId="0" borderId="59" xfId="0" applyNumberFormat="1" applyFont="1" applyBorder="1" applyAlignment="1">
      <alignment horizontal="center" vertical="center"/>
    </xf>
    <xf numFmtId="10" fontId="3" fillId="0" borderId="59" xfId="0" applyNumberFormat="1" applyFont="1" applyBorder="1"/>
    <xf numFmtId="10" fontId="3" fillId="0" borderId="58" xfId="0" applyNumberFormat="1" applyFont="1" applyBorder="1"/>
    <xf numFmtId="0" fontId="4" fillId="0" borderId="35" xfId="0" applyFont="1" applyBorder="1"/>
    <xf numFmtId="4" fontId="3" fillId="0" borderId="45" xfId="0" applyNumberFormat="1" applyFont="1" applyBorder="1"/>
    <xf numFmtId="4" fontId="3" fillId="0" borderId="60" xfId="0" applyNumberFormat="1" applyFont="1" applyBorder="1"/>
    <xf numFmtId="10" fontId="3" fillId="0" borderId="61" xfId="0" applyNumberFormat="1" applyFont="1" applyBorder="1"/>
    <xf numFmtId="10" fontId="6" fillId="3" borderId="44" xfId="0" applyNumberFormat="1" applyFont="1" applyFill="1" applyBorder="1"/>
    <xf numFmtId="10" fontId="3" fillId="0" borderId="43" xfId="0" applyNumberFormat="1" applyFont="1" applyBorder="1"/>
    <xf numFmtId="10" fontId="6" fillId="3" borderId="1" xfId="0" applyNumberFormat="1" applyFont="1" applyFill="1" applyBorder="1"/>
    <xf numFmtId="10" fontId="13" fillId="0" borderId="61" xfId="0" applyNumberFormat="1" applyFont="1" applyBorder="1"/>
    <xf numFmtId="10" fontId="13" fillId="0" borderId="59" xfId="0" applyNumberFormat="1" applyFont="1" applyBorder="1"/>
    <xf numFmtId="10" fontId="6" fillId="3" borderId="23" xfId="0" applyNumberFormat="1" applyFont="1" applyFill="1" applyBorder="1"/>
    <xf numFmtId="10" fontId="6" fillId="3" borderId="3" xfId="0" applyNumberFormat="1" applyFont="1" applyFill="1" applyBorder="1"/>
    <xf numFmtId="10" fontId="3" fillId="0" borderId="63" xfId="0" applyNumberFormat="1" applyFont="1" applyBorder="1"/>
    <xf numFmtId="0" fontId="4" fillId="0" borderId="0" xfId="0" applyFont="1"/>
    <xf numFmtId="10" fontId="3" fillId="0" borderId="19" xfId="0" applyNumberFormat="1" applyFont="1" applyBorder="1"/>
    <xf numFmtId="0" fontId="6" fillId="0" borderId="18" xfId="0" applyFont="1" applyBorder="1" applyAlignment="1">
      <alignment horizontal="center" vertical="center"/>
    </xf>
    <xf numFmtId="10" fontId="16" fillId="0" borderId="18" xfId="0" applyNumberFormat="1" applyFont="1" applyBorder="1" applyAlignment="1">
      <alignment horizontal="center" vertical="center"/>
    </xf>
    <xf numFmtId="10" fontId="6" fillId="3" borderId="27" xfId="0" applyNumberFormat="1" applyFont="1" applyFill="1" applyBorder="1"/>
    <xf numFmtId="4" fontId="17" fillId="0" borderId="16" xfId="0" applyNumberFormat="1" applyFont="1" applyBorder="1"/>
    <xf numFmtId="4" fontId="17" fillId="0" borderId="36" xfId="0" applyNumberFormat="1" applyFont="1" applyBorder="1"/>
    <xf numFmtId="4" fontId="17" fillId="0" borderId="33" xfId="0" applyNumberFormat="1" applyFont="1" applyBorder="1"/>
    <xf numFmtId="4" fontId="17" fillId="0" borderId="46" xfId="0" applyNumberFormat="1" applyFont="1" applyBorder="1"/>
    <xf numFmtId="4" fontId="17" fillId="0" borderId="41" xfId="0" applyNumberFormat="1" applyFont="1" applyBorder="1"/>
    <xf numFmtId="4" fontId="17" fillId="0" borderId="0" xfId="0" applyNumberFormat="1" applyFont="1"/>
    <xf numFmtId="0" fontId="0" fillId="0" borderId="34" xfId="0" applyBorder="1" applyAlignment="1">
      <alignment horizontal="center"/>
    </xf>
    <xf numFmtId="4" fontId="17" fillId="0" borderId="17" xfId="0" applyNumberFormat="1" applyFont="1" applyFill="1" applyBorder="1"/>
    <xf numFmtId="4" fontId="17" fillId="0" borderId="16" xfId="0" applyNumberFormat="1" applyFont="1" applyFill="1" applyBorder="1"/>
    <xf numFmtId="4" fontId="11" fillId="0" borderId="0" xfId="0" applyNumberFormat="1" applyFont="1" applyFill="1"/>
    <xf numFmtId="4" fontId="17" fillId="0" borderId="41" xfId="0" applyNumberFormat="1" applyFont="1" applyFill="1" applyBorder="1"/>
    <xf numFmtId="4" fontId="17" fillId="0" borderId="0" xfId="0" applyNumberFormat="1" applyFont="1" applyFill="1"/>
    <xf numFmtId="4" fontId="3" fillId="0" borderId="36" xfId="0" applyNumberFormat="1" applyFont="1" applyFill="1" applyBorder="1"/>
    <xf numFmtId="4" fontId="17" fillId="0" borderId="36" xfId="0" applyNumberFormat="1" applyFont="1" applyFill="1" applyBorder="1"/>
    <xf numFmtId="4" fontId="3" fillId="0" borderId="0" xfId="0" applyNumberFormat="1" applyFont="1" applyFill="1"/>
    <xf numFmtId="4" fontId="11" fillId="0" borderId="34" xfId="0" applyNumberFormat="1" applyFont="1" applyFill="1" applyBorder="1"/>
    <xf numFmtId="0" fontId="6" fillId="3" borderId="25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" fontId="6" fillId="2" borderId="38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6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00"/>
      <color rgb="FF00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19"/>
  <sheetViews>
    <sheetView tabSelected="1" showWhiteSpace="0" zoomScale="112" zoomScaleNormal="112" workbookViewId="0">
      <pane ySplit="1" topLeftCell="A102" activePane="bottomLeft" state="frozen"/>
      <selection pane="bottomLeft" activeCell="O110" sqref="O110"/>
    </sheetView>
  </sheetViews>
  <sheetFormatPr baseColWidth="10" defaultRowHeight="15.6" x14ac:dyDescent="0.3"/>
  <cols>
    <col min="1" max="1" width="29.5546875" style="2" customWidth="1"/>
    <col min="2" max="2" width="11.6640625" style="3" customWidth="1"/>
    <col min="3" max="4" width="13.44140625" style="3" customWidth="1"/>
    <col min="5" max="6" width="13.44140625" style="98" customWidth="1"/>
    <col min="7" max="7" width="13.44140625" style="3" customWidth="1"/>
    <col min="8" max="8" width="13.44140625" style="98" customWidth="1"/>
    <col min="9" max="9" width="26.33203125" style="4" customWidth="1"/>
    <col min="10" max="10" width="12.6640625" style="3" customWidth="1"/>
    <col min="11" max="11" width="12.5546875" style="72" customWidth="1"/>
    <col min="12" max="14" width="12.109375" style="5" customWidth="1"/>
    <col min="15" max="15" width="12.44140625" style="5" customWidth="1"/>
    <col min="16" max="16" width="13.44140625" style="98" customWidth="1"/>
    <col min="17" max="17" width="21.5546875" style="24" customWidth="1"/>
    <col min="18" max="18" width="3.5546875" style="2" customWidth="1"/>
    <col min="19" max="19" width="11" style="2" customWidth="1"/>
    <col min="20" max="20" width="7.6640625" style="2" hidden="1" customWidth="1"/>
    <col min="21" max="21" width="11.44140625" style="2" hidden="1" customWidth="1"/>
    <col min="22" max="256" width="11.5546875" style="2"/>
    <col min="257" max="257" width="29.5546875" style="2" customWidth="1"/>
    <col min="258" max="258" width="11.6640625" style="2" customWidth="1"/>
    <col min="259" max="264" width="13.44140625" style="2" customWidth="1"/>
    <col min="265" max="265" width="26.33203125" style="2" customWidth="1"/>
    <col min="266" max="266" width="12.6640625" style="2" customWidth="1"/>
    <col min="267" max="267" width="12.5546875" style="2" customWidth="1"/>
    <col min="268" max="270" width="12.109375" style="2" customWidth="1"/>
    <col min="271" max="271" width="12.44140625" style="2" customWidth="1"/>
    <col min="272" max="272" width="13.44140625" style="2" customWidth="1"/>
    <col min="273" max="273" width="21.5546875" style="2" customWidth="1"/>
    <col min="274" max="274" width="3.5546875" style="2" customWidth="1"/>
    <col min="275" max="275" width="11" style="2" customWidth="1"/>
    <col min="276" max="277" width="0" style="2" hidden="1" customWidth="1"/>
    <col min="278" max="512" width="11.5546875" style="2"/>
    <col min="513" max="513" width="29.5546875" style="2" customWidth="1"/>
    <col min="514" max="514" width="11.6640625" style="2" customWidth="1"/>
    <col min="515" max="520" width="13.44140625" style="2" customWidth="1"/>
    <col min="521" max="521" width="26.33203125" style="2" customWidth="1"/>
    <col min="522" max="522" width="12.6640625" style="2" customWidth="1"/>
    <col min="523" max="523" width="12.5546875" style="2" customWidth="1"/>
    <col min="524" max="526" width="12.109375" style="2" customWidth="1"/>
    <col min="527" max="527" width="12.44140625" style="2" customWidth="1"/>
    <col min="528" max="528" width="13.44140625" style="2" customWidth="1"/>
    <col min="529" max="529" width="21.5546875" style="2" customWidth="1"/>
    <col min="530" max="530" width="3.5546875" style="2" customWidth="1"/>
    <col min="531" max="531" width="11" style="2" customWidth="1"/>
    <col min="532" max="533" width="0" style="2" hidden="1" customWidth="1"/>
    <col min="534" max="768" width="11.5546875" style="2"/>
    <col min="769" max="769" width="29.5546875" style="2" customWidth="1"/>
    <col min="770" max="770" width="11.6640625" style="2" customWidth="1"/>
    <col min="771" max="776" width="13.44140625" style="2" customWidth="1"/>
    <col min="777" max="777" width="26.33203125" style="2" customWidth="1"/>
    <col min="778" max="778" width="12.6640625" style="2" customWidth="1"/>
    <col min="779" max="779" width="12.5546875" style="2" customWidth="1"/>
    <col min="780" max="782" width="12.109375" style="2" customWidth="1"/>
    <col min="783" max="783" width="12.44140625" style="2" customWidth="1"/>
    <col min="784" max="784" width="13.44140625" style="2" customWidth="1"/>
    <col min="785" max="785" width="21.5546875" style="2" customWidth="1"/>
    <col min="786" max="786" width="3.5546875" style="2" customWidth="1"/>
    <col min="787" max="787" width="11" style="2" customWidth="1"/>
    <col min="788" max="789" width="0" style="2" hidden="1" customWidth="1"/>
    <col min="790" max="1024" width="11.5546875" style="2"/>
    <col min="1025" max="1025" width="29.5546875" style="2" customWidth="1"/>
    <col min="1026" max="1026" width="11.6640625" style="2" customWidth="1"/>
    <col min="1027" max="1032" width="13.44140625" style="2" customWidth="1"/>
    <col min="1033" max="1033" width="26.33203125" style="2" customWidth="1"/>
    <col min="1034" max="1034" width="12.6640625" style="2" customWidth="1"/>
    <col min="1035" max="1035" width="12.5546875" style="2" customWidth="1"/>
    <col min="1036" max="1038" width="12.109375" style="2" customWidth="1"/>
    <col min="1039" max="1039" width="12.44140625" style="2" customWidth="1"/>
    <col min="1040" max="1040" width="13.44140625" style="2" customWidth="1"/>
    <col min="1041" max="1041" width="21.5546875" style="2" customWidth="1"/>
    <col min="1042" max="1042" width="3.5546875" style="2" customWidth="1"/>
    <col min="1043" max="1043" width="11" style="2" customWidth="1"/>
    <col min="1044" max="1045" width="0" style="2" hidden="1" customWidth="1"/>
    <col min="1046" max="1280" width="11.5546875" style="2"/>
    <col min="1281" max="1281" width="29.5546875" style="2" customWidth="1"/>
    <col min="1282" max="1282" width="11.6640625" style="2" customWidth="1"/>
    <col min="1283" max="1288" width="13.44140625" style="2" customWidth="1"/>
    <col min="1289" max="1289" width="26.33203125" style="2" customWidth="1"/>
    <col min="1290" max="1290" width="12.6640625" style="2" customWidth="1"/>
    <col min="1291" max="1291" width="12.5546875" style="2" customWidth="1"/>
    <col min="1292" max="1294" width="12.109375" style="2" customWidth="1"/>
    <col min="1295" max="1295" width="12.44140625" style="2" customWidth="1"/>
    <col min="1296" max="1296" width="13.44140625" style="2" customWidth="1"/>
    <col min="1297" max="1297" width="21.5546875" style="2" customWidth="1"/>
    <col min="1298" max="1298" width="3.5546875" style="2" customWidth="1"/>
    <col min="1299" max="1299" width="11" style="2" customWidth="1"/>
    <col min="1300" max="1301" width="0" style="2" hidden="1" customWidth="1"/>
    <col min="1302" max="1536" width="11.5546875" style="2"/>
    <col min="1537" max="1537" width="29.5546875" style="2" customWidth="1"/>
    <col min="1538" max="1538" width="11.6640625" style="2" customWidth="1"/>
    <col min="1539" max="1544" width="13.44140625" style="2" customWidth="1"/>
    <col min="1545" max="1545" width="26.33203125" style="2" customWidth="1"/>
    <col min="1546" max="1546" width="12.6640625" style="2" customWidth="1"/>
    <col min="1547" max="1547" width="12.5546875" style="2" customWidth="1"/>
    <col min="1548" max="1550" width="12.109375" style="2" customWidth="1"/>
    <col min="1551" max="1551" width="12.44140625" style="2" customWidth="1"/>
    <col min="1552" max="1552" width="13.44140625" style="2" customWidth="1"/>
    <col min="1553" max="1553" width="21.5546875" style="2" customWidth="1"/>
    <col min="1554" max="1554" width="3.5546875" style="2" customWidth="1"/>
    <col min="1555" max="1555" width="11" style="2" customWidth="1"/>
    <col min="1556" max="1557" width="0" style="2" hidden="1" customWidth="1"/>
    <col min="1558" max="1792" width="11.5546875" style="2"/>
    <col min="1793" max="1793" width="29.5546875" style="2" customWidth="1"/>
    <col min="1794" max="1794" width="11.6640625" style="2" customWidth="1"/>
    <col min="1795" max="1800" width="13.44140625" style="2" customWidth="1"/>
    <col min="1801" max="1801" width="26.33203125" style="2" customWidth="1"/>
    <col min="1802" max="1802" width="12.6640625" style="2" customWidth="1"/>
    <col min="1803" max="1803" width="12.5546875" style="2" customWidth="1"/>
    <col min="1804" max="1806" width="12.109375" style="2" customWidth="1"/>
    <col min="1807" max="1807" width="12.44140625" style="2" customWidth="1"/>
    <col min="1808" max="1808" width="13.44140625" style="2" customWidth="1"/>
    <col min="1809" max="1809" width="21.5546875" style="2" customWidth="1"/>
    <col min="1810" max="1810" width="3.5546875" style="2" customWidth="1"/>
    <col min="1811" max="1811" width="11" style="2" customWidth="1"/>
    <col min="1812" max="1813" width="0" style="2" hidden="1" customWidth="1"/>
    <col min="1814" max="2048" width="11.5546875" style="2"/>
    <col min="2049" max="2049" width="29.5546875" style="2" customWidth="1"/>
    <col min="2050" max="2050" width="11.6640625" style="2" customWidth="1"/>
    <col min="2051" max="2056" width="13.44140625" style="2" customWidth="1"/>
    <col min="2057" max="2057" width="26.33203125" style="2" customWidth="1"/>
    <col min="2058" max="2058" width="12.6640625" style="2" customWidth="1"/>
    <col min="2059" max="2059" width="12.5546875" style="2" customWidth="1"/>
    <col min="2060" max="2062" width="12.109375" style="2" customWidth="1"/>
    <col min="2063" max="2063" width="12.44140625" style="2" customWidth="1"/>
    <col min="2064" max="2064" width="13.44140625" style="2" customWidth="1"/>
    <col min="2065" max="2065" width="21.5546875" style="2" customWidth="1"/>
    <col min="2066" max="2066" width="3.5546875" style="2" customWidth="1"/>
    <col min="2067" max="2067" width="11" style="2" customWidth="1"/>
    <col min="2068" max="2069" width="0" style="2" hidden="1" customWidth="1"/>
    <col min="2070" max="2304" width="11.5546875" style="2"/>
    <col min="2305" max="2305" width="29.5546875" style="2" customWidth="1"/>
    <col min="2306" max="2306" width="11.6640625" style="2" customWidth="1"/>
    <col min="2307" max="2312" width="13.44140625" style="2" customWidth="1"/>
    <col min="2313" max="2313" width="26.33203125" style="2" customWidth="1"/>
    <col min="2314" max="2314" width="12.6640625" style="2" customWidth="1"/>
    <col min="2315" max="2315" width="12.5546875" style="2" customWidth="1"/>
    <col min="2316" max="2318" width="12.109375" style="2" customWidth="1"/>
    <col min="2319" max="2319" width="12.44140625" style="2" customWidth="1"/>
    <col min="2320" max="2320" width="13.44140625" style="2" customWidth="1"/>
    <col min="2321" max="2321" width="21.5546875" style="2" customWidth="1"/>
    <col min="2322" max="2322" width="3.5546875" style="2" customWidth="1"/>
    <col min="2323" max="2323" width="11" style="2" customWidth="1"/>
    <col min="2324" max="2325" width="0" style="2" hidden="1" customWidth="1"/>
    <col min="2326" max="2560" width="11.5546875" style="2"/>
    <col min="2561" max="2561" width="29.5546875" style="2" customWidth="1"/>
    <col min="2562" max="2562" width="11.6640625" style="2" customWidth="1"/>
    <col min="2563" max="2568" width="13.44140625" style="2" customWidth="1"/>
    <col min="2569" max="2569" width="26.33203125" style="2" customWidth="1"/>
    <col min="2570" max="2570" width="12.6640625" style="2" customWidth="1"/>
    <col min="2571" max="2571" width="12.5546875" style="2" customWidth="1"/>
    <col min="2572" max="2574" width="12.109375" style="2" customWidth="1"/>
    <col min="2575" max="2575" width="12.44140625" style="2" customWidth="1"/>
    <col min="2576" max="2576" width="13.44140625" style="2" customWidth="1"/>
    <col min="2577" max="2577" width="21.5546875" style="2" customWidth="1"/>
    <col min="2578" max="2578" width="3.5546875" style="2" customWidth="1"/>
    <col min="2579" max="2579" width="11" style="2" customWidth="1"/>
    <col min="2580" max="2581" width="0" style="2" hidden="1" customWidth="1"/>
    <col min="2582" max="2816" width="11.5546875" style="2"/>
    <col min="2817" max="2817" width="29.5546875" style="2" customWidth="1"/>
    <col min="2818" max="2818" width="11.6640625" style="2" customWidth="1"/>
    <col min="2819" max="2824" width="13.44140625" style="2" customWidth="1"/>
    <col min="2825" max="2825" width="26.33203125" style="2" customWidth="1"/>
    <col min="2826" max="2826" width="12.6640625" style="2" customWidth="1"/>
    <col min="2827" max="2827" width="12.5546875" style="2" customWidth="1"/>
    <col min="2828" max="2830" width="12.109375" style="2" customWidth="1"/>
    <col min="2831" max="2831" width="12.44140625" style="2" customWidth="1"/>
    <col min="2832" max="2832" width="13.44140625" style="2" customWidth="1"/>
    <col min="2833" max="2833" width="21.5546875" style="2" customWidth="1"/>
    <col min="2834" max="2834" width="3.5546875" style="2" customWidth="1"/>
    <col min="2835" max="2835" width="11" style="2" customWidth="1"/>
    <col min="2836" max="2837" width="0" style="2" hidden="1" customWidth="1"/>
    <col min="2838" max="3072" width="11.5546875" style="2"/>
    <col min="3073" max="3073" width="29.5546875" style="2" customWidth="1"/>
    <col min="3074" max="3074" width="11.6640625" style="2" customWidth="1"/>
    <col min="3075" max="3080" width="13.44140625" style="2" customWidth="1"/>
    <col min="3081" max="3081" width="26.33203125" style="2" customWidth="1"/>
    <col min="3082" max="3082" width="12.6640625" style="2" customWidth="1"/>
    <col min="3083" max="3083" width="12.5546875" style="2" customWidth="1"/>
    <col min="3084" max="3086" width="12.109375" style="2" customWidth="1"/>
    <col min="3087" max="3087" width="12.44140625" style="2" customWidth="1"/>
    <col min="3088" max="3088" width="13.44140625" style="2" customWidth="1"/>
    <col min="3089" max="3089" width="21.5546875" style="2" customWidth="1"/>
    <col min="3090" max="3090" width="3.5546875" style="2" customWidth="1"/>
    <col min="3091" max="3091" width="11" style="2" customWidth="1"/>
    <col min="3092" max="3093" width="0" style="2" hidden="1" customWidth="1"/>
    <col min="3094" max="3328" width="11.5546875" style="2"/>
    <col min="3329" max="3329" width="29.5546875" style="2" customWidth="1"/>
    <col min="3330" max="3330" width="11.6640625" style="2" customWidth="1"/>
    <col min="3331" max="3336" width="13.44140625" style="2" customWidth="1"/>
    <col min="3337" max="3337" width="26.33203125" style="2" customWidth="1"/>
    <col min="3338" max="3338" width="12.6640625" style="2" customWidth="1"/>
    <col min="3339" max="3339" width="12.5546875" style="2" customWidth="1"/>
    <col min="3340" max="3342" width="12.109375" style="2" customWidth="1"/>
    <col min="3343" max="3343" width="12.44140625" style="2" customWidth="1"/>
    <col min="3344" max="3344" width="13.44140625" style="2" customWidth="1"/>
    <col min="3345" max="3345" width="21.5546875" style="2" customWidth="1"/>
    <col min="3346" max="3346" width="3.5546875" style="2" customWidth="1"/>
    <col min="3347" max="3347" width="11" style="2" customWidth="1"/>
    <col min="3348" max="3349" width="0" style="2" hidden="1" customWidth="1"/>
    <col min="3350" max="3584" width="11.5546875" style="2"/>
    <col min="3585" max="3585" width="29.5546875" style="2" customWidth="1"/>
    <col min="3586" max="3586" width="11.6640625" style="2" customWidth="1"/>
    <col min="3587" max="3592" width="13.44140625" style="2" customWidth="1"/>
    <col min="3593" max="3593" width="26.33203125" style="2" customWidth="1"/>
    <col min="3594" max="3594" width="12.6640625" style="2" customWidth="1"/>
    <col min="3595" max="3595" width="12.5546875" style="2" customWidth="1"/>
    <col min="3596" max="3598" width="12.109375" style="2" customWidth="1"/>
    <col min="3599" max="3599" width="12.44140625" style="2" customWidth="1"/>
    <col min="3600" max="3600" width="13.44140625" style="2" customWidth="1"/>
    <col min="3601" max="3601" width="21.5546875" style="2" customWidth="1"/>
    <col min="3602" max="3602" width="3.5546875" style="2" customWidth="1"/>
    <col min="3603" max="3603" width="11" style="2" customWidth="1"/>
    <col min="3604" max="3605" width="0" style="2" hidden="1" customWidth="1"/>
    <col min="3606" max="3840" width="11.5546875" style="2"/>
    <col min="3841" max="3841" width="29.5546875" style="2" customWidth="1"/>
    <col min="3842" max="3842" width="11.6640625" style="2" customWidth="1"/>
    <col min="3843" max="3848" width="13.44140625" style="2" customWidth="1"/>
    <col min="3849" max="3849" width="26.33203125" style="2" customWidth="1"/>
    <col min="3850" max="3850" width="12.6640625" style="2" customWidth="1"/>
    <col min="3851" max="3851" width="12.5546875" style="2" customWidth="1"/>
    <col min="3852" max="3854" width="12.109375" style="2" customWidth="1"/>
    <col min="3855" max="3855" width="12.44140625" style="2" customWidth="1"/>
    <col min="3856" max="3856" width="13.44140625" style="2" customWidth="1"/>
    <col min="3857" max="3857" width="21.5546875" style="2" customWidth="1"/>
    <col min="3858" max="3858" width="3.5546875" style="2" customWidth="1"/>
    <col min="3859" max="3859" width="11" style="2" customWidth="1"/>
    <col min="3860" max="3861" width="0" style="2" hidden="1" customWidth="1"/>
    <col min="3862" max="4096" width="11.5546875" style="2"/>
    <col min="4097" max="4097" width="29.5546875" style="2" customWidth="1"/>
    <col min="4098" max="4098" width="11.6640625" style="2" customWidth="1"/>
    <col min="4099" max="4104" width="13.44140625" style="2" customWidth="1"/>
    <col min="4105" max="4105" width="26.33203125" style="2" customWidth="1"/>
    <col min="4106" max="4106" width="12.6640625" style="2" customWidth="1"/>
    <col min="4107" max="4107" width="12.5546875" style="2" customWidth="1"/>
    <col min="4108" max="4110" width="12.109375" style="2" customWidth="1"/>
    <col min="4111" max="4111" width="12.44140625" style="2" customWidth="1"/>
    <col min="4112" max="4112" width="13.44140625" style="2" customWidth="1"/>
    <col min="4113" max="4113" width="21.5546875" style="2" customWidth="1"/>
    <col min="4114" max="4114" width="3.5546875" style="2" customWidth="1"/>
    <col min="4115" max="4115" width="11" style="2" customWidth="1"/>
    <col min="4116" max="4117" width="0" style="2" hidden="1" customWidth="1"/>
    <col min="4118" max="4352" width="11.5546875" style="2"/>
    <col min="4353" max="4353" width="29.5546875" style="2" customWidth="1"/>
    <col min="4354" max="4354" width="11.6640625" style="2" customWidth="1"/>
    <col min="4355" max="4360" width="13.44140625" style="2" customWidth="1"/>
    <col min="4361" max="4361" width="26.33203125" style="2" customWidth="1"/>
    <col min="4362" max="4362" width="12.6640625" style="2" customWidth="1"/>
    <col min="4363" max="4363" width="12.5546875" style="2" customWidth="1"/>
    <col min="4364" max="4366" width="12.109375" style="2" customWidth="1"/>
    <col min="4367" max="4367" width="12.44140625" style="2" customWidth="1"/>
    <col min="4368" max="4368" width="13.44140625" style="2" customWidth="1"/>
    <col min="4369" max="4369" width="21.5546875" style="2" customWidth="1"/>
    <col min="4370" max="4370" width="3.5546875" style="2" customWidth="1"/>
    <col min="4371" max="4371" width="11" style="2" customWidth="1"/>
    <col min="4372" max="4373" width="0" style="2" hidden="1" customWidth="1"/>
    <col min="4374" max="4608" width="11.5546875" style="2"/>
    <col min="4609" max="4609" width="29.5546875" style="2" customWidth="1"/>
    <col min="4610" max="4610" width="11.6640625" style="2" customWidth="1"/>
    <col min="4611" max="4616" width="13.44140625" style="2" customWidth="1"/>
    <col min="4617" max="4617" width="26.33203125" style="2" customWidth="1"/>
    <col min="4618" max="4618" width="12.6640625" style="2" customWidth="1"/>
    <col min="4619" max="4619" width="12.5546875" style="2" customWidth="1"/>
    <col min="4620" max="4622" width="12.109375" style="2" customWidth="1"/>
    <col min="4623" max="4623" width="12.44140625" style="2" customWidth="1"/>
    <col min="4624" max="4624" width="13.44140625" style="2" customWidth="1"/>
    <col min="4625" max="4625" width="21.5546875" style="2" customWidth="1"/>
    <col min="4626" max="4626" width="3.5546875" style="2" customWidth="1"/>
    <col min="4627" max="4627" width="11" style="2" customWidth="1"/>
    <col min="4628" max="4629" width="0" style="2" hidden="1" customWidth="1"/>
    <col min="4630" max="4864" width="11.5546875" style="2"/>
    <col min="4865" max="4865" width="29.5546875" style="2" customWidth="1"/>
    <col min="4866" max="4866" width="11.6640625" style="2" customWidth="1"/>
    <col min="4867" max="4872" width="13.44140625" style="2" customWidth="1"/>
    <col min="4873" max="4873" width="26.33203125" style="2" customWidth="1"/>
    <col min="4874" max="4874" width="12.6640625" style="2" customWidth="1"/>
    <col min="4875" max="4875" width="12.5546875" style="2" customWidth="1"/>
    <col min="4876" max="4878" width="12.109375" style="2" customWidth="1"/>
    <col min="4879" max="4879" width="12.44140625" style="2" customWidth="1"/>
    <col min="4880" max="4880" width="13.44140625" style="2" customWidth="1"/>
    <col min="4881" max="4881" width="21.5546875" style="2" customWidth="1"/>
    <col min="4882" max="4882" width="3.5546875" style="2" customWidth="1"/>
    <col min="4883" max="4883" width="11" style="2" customWidth="1"/>
    <col min="4884" max="4885" width="0" style="2" hidden="1" customWidth="1"/>
    <col min="4886" max="5120" width="11.5546875" style="2"/>
    <col min="5121" max="5121" width="29.5546875" style="2" customWidth="1"/>
    <col min="5122" max="5122" width="11.6640625" style="2" customWidth="1"/>
    <col min="5123" max="5128" width="13.44140625" style="2" customWidth="1"/>
    <col min="5129" max="5129" width="26.33203125" style="2" customWidth="1"/>
    <col min="5130" max="5130" width="12.6640625" style="2" customWidth="1"/>
    <col min="5131" max="5131" width="12.5546875" style="2" customWidth="1"/>
    <col min="5132" max="5134" width="12.109375" style="2" customWidth="1"/>
    <col min="5135" max="5135" width="12.44140625" style="2" customWidth="1"/>
    <col min="5136" max="5136" width="13.44140625" style="2" customWidth="1"/>
    <col min="5137" max="5137" width="21.5546875" style="2" customWidth="1"/>
    <col min="5138" max="5138" width="3.5546875" style="2" customWidth="1"/>
    <col min="5139" max="5139" width="11" style="2" customWidth="1"/>
    <col min="5140" max="5141" width="0" style="2" hidden="1" customWidth="1"/>
    <col min="5142" max="5376" width="11.5546875" style="2"/>
    <col min="5377" max="5377" width="29.5546875" style="2" customWidth="1"/>
    <col min="5378" max="5378" width="11.6640625" style="2" customWidth="1"/>
    <col min="5379" max="5384" width="13.44140625" style="2" customWidth="1"/>
    <col min="5385" max="5385" width="26.33203125" style="2" customWidth="1"/>
    <col min="5386" max="5386" width="12.6640625" style="2" customWidth="1"/>
    <col min="5387" max="5387" width="12.5546875" style="2" customWidth="1"/>
    <col min="5388" max="5390" width="12.109375" style="2" customWidth="1"/>
    <col min="5391" max="5391" width="12.44140625" style="2" customWidth="1"/>
    <col min="5392" max="5392" width="13.44140625" style="2" customWidth="1"/>
    <col min="5393" max="5393" width="21.5546875" style="2" customWidth="1"/>
    <col min="5394" max="5394" width="3.5546875" style="2" customWidth="1"/>
    <col min="5395" max="5395" width="11" style="2" customWidth="1"/>
    <col min="5396" max="5397" width="0" style="2" hidden="1" customWidth="1"/>
    <col min="5398" max="5632" width="11.5546875" style="2"/>
    <col min="5633" max="5633" width="29.5546875" style="2" customWidth="1"/>
    <col min="5634" max="5634" width="11.6640625" style="2" customWidth="1"/>
    <col min="5635" max="5640" width="13.44140625" style="2" customWidth="1"/>
    <col min="5641" max="5641" width="26.33203125" style="2" customWidth="1"/>
    <col min="5642" max="5642" width="12.6640625" style="2" customWidth="1"/>
    <col min="5643" max="5643" width="12.5546875" style="2" customWidth="1"/>
    <col min="5644" max="5646" width="12.109375" style="2" customWidth="1"/>
    <col min="5647" max="5647" width="12.44140625" style="2" customWidth="1"/>
    <col min="5648" max="5648" width="13.44140625" style="2" customWidth="1"/>
    <col min="5649" max="5649" width="21.5546875" style="2" customWidth="1"/>
    <col min="5650" max="5650" width="3.5546875" style="2" customWidth="1"/>
    <col min="5651" max="5651" width="11" style="2" customWidth="1"/>
    <col min="5652" max="5653" width="0" style="2" hidden="1" customWidth="1"/>
    <col min="5654" max="5888" width="11.5546875" style="2"/>
    <col min="5889" max="5889" width="29.5546875" style="2" customWidth="1"/>
    <col min="5890" max="5890" width="11.6640625" style="2" customWidth="1"/>
    <col min="5891" max="5896" width="13.44140625" style="2" customWidth="1"/>
    <col min="5897" max="5897" width="26.33203125" style="2" customWidth="1"/>
    <col min="5898" max="5898" width="12.6640625" style="2" customWidth="1"/>
    <col min="5899" max="5899" width="12.5546875" style="2" customWidth="1"/>
    <col min="5900" max="5902" width="12.109375" style="2" customWidth="1"/>
    <col min="5903" max="5903" width="12.44140625" style="2" customWidth="1"/>
    <col min="5904" max="5904" width="13.44140625" style="2" customWidth="1"/>
    <col min="5905" max="5905" width="21.5546875" style="2" customWidth="1"/>
    <col min="5906" max="5906" width="3.5546875" style="2" customWidth="1"/>
    <col min="5907" max="5907" width="11" style="2" customWidth="1"/>
    <col min="5908" max="5909" width="0" style="2" hidden="1" customWidth="1"/>
    <col min="5910" max="6144" width="11.5546875" style="2"/>
    <col min="6145" max="6145" width="29.5546875" style="2" customWidth="1"/>
    <col min="6146" max="6146" width="11.6640625" style="2" customWidth="1"/>
    <col min="6147" max="6152" width="13.44140625" style="2" customWidth="1"/>
    <col min="6153" max="6153" width="26.33203125" style="2" customWidth="1"/>
    <col min="6154" max="6154" width="12.6640625" style="2" customWidth="1"/>
    <col min="6155" max="6155" width="12.5546875" style="2" customWidth="1"/>
    <col min="6156" max="6158" width="12.109375" style="2" customWidth="1"/>
    <col min="6159" max="6159" width="12.44140625" style="2" customWidth="1"/>
    <col min="6160" max="6160" width="13.44140625" style="2" customWidth="1"/>
    <col min="6161" max="6161" width="21.5546875" style="2" customWidth="1"/>
    <col min="6162" max="6162" width="3.5546875" style="2" customWidth="1"/>
    <col min="6163" max="6163" width="11" style="2" customWidth="1"/>
    <col min="6164" max="6165" width="0" style="2" hidden="1" customWidth="1"/>
    <col min="6166" max="6400" width="11.5546875" style="2"/>
    <col min="6401" max="6401" width="29.5546875" style="2" customWidth="1"/>
    <col min="6402" max="6402" width="11.6640625" style="2" customWidth="1"/>
    <col min="6403" max="6408" width="13.44140625" style="2" customWidth="1"/>
    <col min="6409" max="6409" width="26.33203125" style="2" customWidth="1"/>
    <col min="6410" max="6410" width="12.6640625" style="2" customWidth="1"/>
    <col min="6411" max="6411" width="12.5546875" style="2" customWidth="1"/>
    <col min="6412" max="6414" width="12.109375" style="2" customWidth="1"/>
    <col min="6415" max="6415" width="12.44140625" style="2" customWidth="1"/>
    <col min="6416" max="6416" width="13.44140625" style="2" customWidth="1"/>
    <col min="6417" max="6417" width="21.5546875" style="2" customWidth="1"/>
    <col min="6418" max="6418" width="3.5546875" style="2" customWidth="1"/>
    <col min="6419" max="6419" width="11" style="2" customWidth="1"/>
    <col min="6420" max="6421" width="0" style="2" hidden="1" customWidth="1"/>
    <col min="6422" max="6656" width="11.5546875" style="2"/>
    <col min="6657" max="6657" width="29.5546875" style="2" customWidth="1"/>
    <col min="6658" max="6658" width="11.6640625" style="2" customWidth="1"/>
    <col min="6659" max="6664" width="13.44140625" style="2" customWidth="1"/>
    <col min="6665" max="6665" width="26.33203125" style="2" customWidth="1"/>
    <col min="6666" max="6666" width="12.6640625" style="2" customWidth="1"/>
    <col min="6667" max="6667" width="12.5546875" style="2" customWidth="1"/>
    <col min="6668" max="6670" width="12.109375" style="2" customWidth="1"/>
    <col min="6671" max="6671" width="12.44140625" style="2" customWidth="1"/>
    <col min="6672" max="6672" width="13.44140625" style="2" customWidth="1"/>
    <col min="6673" max="6673" width="21.5546875" style="2" customWidth="1"/>
    <col min="6674" max="6674" width="3.5546875" style="2" customWidth="1"/>
    <col min="6675" max="6675" width="11" style="2" customWidth="1"/>
    <col min="6676" max="6677" width="0" style="2" hidden="1" customWidth="1"/>
    <col min="6678" max="6912" width="11.5546875" style="2"/>
    <col min="6913" max="6913" width="29.5546875" style="2" customWidth="1"/>
    <col min="6914" max="6914" width="11.6640625" style="2" customWidth="1"/>
    <col min="6915" max="6920" width="13.44140625" style="2" customWidth="1"/>
    <col min="6921" max="6921" width="26.33203125" style="2" customWidth="1"/>
    <col min="6922" max="6922" width="12.6640625" style="2" customWidth="1"/>
    <col min="6923" max="6923" width="12.5546875" style="2" customWidth="1"/>
    <col min="6924" max="6926" width="12.109375" style="2" customWidth="1"/>
    <col min="6927" max="6927" width="12.44140625" style="2" customWidth="1"/>
    <col min="6928" max="6928" width="13.44140625" style="2" customWidth="1"/>
    <col min="6929" max="6929" width="21.5546875" style="2" customWidth="1"/>
    <col min="6930" max="6930" width="3.5546875" style="2" customWidth="1"/>
    <col min="6931" max="6931" width="11" style="2" customWidth="1"/>
    <col min="6932" max="6933" width="0" style="2" hidden="1" customWidth="1"/>
    <col min="6934" max="7168" width="11.5546875" style="2"/>
    <col min="7169" max="7169" width="29.5546875" style="2" customWidth="1"/>
    <col min="7170" max="7170" width="11.6640625" style="2" customWidth="1"/>
    <col min="7171" max="7176" width="13.44140625" style="2" customWidth="1"/>
    <col min="7177" max="7177" width="26.33203125" style="2" customWidth="1"/>
    <col min="7178" max="7178" width="12.6640625" style="2" customWidth="1"/>
    <col min="7179" max="7179" width="12.5546875" style="2" customWidth="1"/>
    <col min="7180" max="7182" width="12.109375" style="2" customWidth="1"/>
    <col min="7183" max="7183" width="12.44140625" style="2" customWidth="1"/>
    <col min="7184" max="7184" width="13.44140625" style="2" customWidth="1"/>
    <col min="7185" max="7185" width="21.5546875" style="2" customWidth="1"/>
    <col min="7186" max="7186" width="3.5546875" style="2" customWidth="1"/>
    <col min="7187" max="7187" width="11" style="2" customWidth="1"/>
    <col min="7188" max="7189" width="0" style="2" hidden="1" customWidth="1"/>
    <col min="7190" max="7424" width="11.5546875" style="2"/>
    <col min="7425" max="7425" width="29.5546875" style="2" customWidth="1"/>
    <col min="7426" max="7426" width="11.6640625" style="2" customWidth="1"/>
    <col min="7427" max="7432" width="13.44140625" style="2" customWidth="1"/>
    <col min="7433" max="7433" width="26.33203125" style="2" customWidth="1"/>
    <col min="7434" max="7434" width="12.6640625" style="2" customWidth="1"/>
    <col min="7435" max="7435" width="12.5546875" style="2" customWidth="1"/>
    <col min="7436" max="7438" width="12.109375" style="2" customWidth="1"/>
    <col min="7439" max="7439" width="12.44140625" style="2" customWidth="1"/>
    <col min="7440" max="7440" width="13.44140625" style="2" customWidth="1"/>
    <col min="7441" max="7441" width="21.5546875" style="2" customWidth="1"/>
    <col min="7442" max="7442" width="3.5546875" style="2" customWidth="1"/>
    <col min="7443" max="7443" width="11" style="2" customWidth="1"/>
    <col min="7444" max="7445" width="0" style="2" hidden="1" customWidth="1"/>
    <col min="7446" max="7680" width="11.5546875" style="2"/>
    <col min="7681" max="7681" width="29.5546875" style="2" customWidth="1"/>
    <col min="7682" max="7682" width="11.6640625" style="2" customWidth="1"/>
    <col min="7683" max="7688" width="13.44140625" style="2" customWidth="1"/>
    <col min="7689" max="7689" width="26.33203125" style="2" customWidth="1"/>
    <col min="7690" max="7690" width="12.6640625" style="2" customWidth="1"/>
    <col min="7691" max="7691" width="12.5546875" style="2" customWidth="1"/>
    <col min="7692" max="7694" width="12.109375" style="2" customWidth="1"/>
    <col min="7695" max="7695" width="12.44140625" style="2" customWidth="1"/>
    <col min="7696" max="7696" width="13.44140625" style="2" customWidth="1"/>
    <col min="7697" max="7697" width="21.5546875" style="2" customWidth="1"/>
    <col min="7698" max="7698" width="3.5546875" style="2" customWidth="1"/>
    <col min="7699" max="7699" width="11" style="2" customWidth="1"/>
    <col min="7700" max="7701" width="0" style="2" hidden="1" customWidth="1"/>
    <col min="7702" max="7936" width="11.5546875" style="2"/>
    <col min="7937" max="7937" width="29.5546875" style="2" customWidth="1"/>
    <col min="7938" max="7938" width="11.6640625" style="2" customWidth="1"/>
    <col min="7939" max="7944" width="13.44140625" style="2" customWidth="1"/>
    <col min="7945" max="7945" width="26.33203125" style="2" customWidth="1"/>
    <col min="7946" max="7946" width="12.6640625" style="2" customWidth="1"/>
    <col min="7947" max="7947" width="12.5546875" style="2" customWidth="1"/>
    <col min="7948" max="7950" width="12.109375" style="2" customWidth="1"/>
    <col min="7951" max="7951" width="12.44140625" style="2" customWidth="1"/>
    <col min="7952" max="7952" width="13.44140625" style="2" customWidth="1"/>
    <col min="7953" max="7953" width="21.5546875" style="2" customWidth="1"/>
    <col min="7954" max="7954" width="3.5546875" style="2" customWidth="1"/>
    <col min="7955" max="7955" width="11" style="2" customWidth="1"/>
    <col min="7956" max="7957" width="0" style="2" hidden="1" customWidth="1"/>
    <col min="7958" max="8192" width="11.5546875" style="2"/>
    <col min="8193" max="8193" width="29.5546875" style="2" customWidth="1"/>
    <col min="8194" max="8194" width="11.6640625" style="2" customWidth="1"/>
    <col min="8195" max="8200" width="13.44140625" style="2" customWidth="1"/>
    <col min="8201" max="8201" width="26.33203125" style="2" customWidth="1"/>
    <col min="8202" max="8202" width="12.6640625" style="2" customWidth="1"/>
    <col min="8203" max="8203" width="12.5546875" style="2" customWidth="1"/>
    <col min="8204" max="8206" width="12.109375" style="2" customWidth="1"/>
    <col min="8207" max="8207" width="12.44140625" style="2" customWidth="1"/>
    <col min="8208" max="8208" width="13.44140625" style="2" customWidth="1"/>
    <col min="8209" max="8209" width="21.5546875" style="2" customWidth="1"/>
    <col min="8210" max="8210" width="3.5546875" style="2" customWidth="1"/>
    <col min="8211" max="8211" width="11" style="2" customWidth="1"/>
    <col min="8212" max="8213" width="0" style="2" hidden="1" customWidth="1"/>
    <col min="8214" max="8448" width="11.5546875" style="2"/>
    <col min="8449" max="8449" width="29.5546875" style="2" customWidth="1"/>
    <col min="8450" max="8450" width="11.6640625" style="2" customWidth="1"/>
    <col min="8451" max="8456" width="13.44140625" style="2" customWidth="1"/>
    <col min="8457" max="8457" width="26.33203125" style="2" customWidth="1"/>
    <col min="8458" max="8458" width="12.6640625" style="2" customWidth="1"/>
    <col min="8459" max="8459" width="12.5546875" style="2" customWidth="1"/>
    <col min="8460" max="8462" width="12.109375" style="2" customWidth="1"/>
    <col min="8463" max="8463" width="12.44140625" style="2" customWidth="1"/>
    <col min="8464" max="8464" width="13.44140625" style="2" customWidth="1"/>
    <col min="8465" max="8465" width="21.5546875" style="2" customWidth="1"/>
    <col min="8466" max="8466" width="3.5546875" style="2" customWidth="1"/>
    <col min="8467" max="8467" width="11" style="2" customWidth="1"/>
    <col min="8468" max="8469" width="0" style="2" hidden="1" customWidth="1"/>
    <col min="8470" max="8704" width="11.5546875" style="2"/>
    <col min="8705" max="8705" width="29.5546875" style="2" customWidth="1"/>
    <col min="8706" max="8706" width="11.6640625" style="2" customWidth="1"/>
    <col min="8707" max="8712" width="13.44140625" style="2" customWidth="1"/>
    <col min="8713" max="8713" width="26.33203125" style="2" customWidth="1"/>
    <col min="8714" max="8714" width="12.6640625" style="2" customWidth="1"/>
    <col min="8715" max="8715" width="12.5546875" style="2" customWidth="1"/>
    <col min="8716" max="8718" width="12.109375" style="2" customWidth="1"/>
    <col min="8719" max="8719" width="12.44140625" style="2" customWidth="1"/>
    <col min="8720" max="8720" width="13.44140625" style="2" customWidth="1"/>
    <col min="8721" max="8721" width="21.5546875" style="2" customWidth="1"/>
    <col min="8722" max="8722" width="3.5546875" style="2" customWidth="1"/>
    <col min="8723" max="8723" width="11" style="2" customWidth="1"/>
    <col min="8724" max="8725" width="0" style="2" hidden="1" customWidth="1"/>
    <col min="8726" max="8960" width="11.5546875" style="2"/>
    <col min="8961" max="8961" width="29.5546875" style="2" customWidth="1"/>
    <col min="8962" max="8962" width="11.6640625" style="2" customWidth="1"/>
    <col min="8963" max="8968" width="13.44140625" style="2" customWidth="1"/>
    <col min="8969" max="8969" width="26.33203125" style="2" customWidth="1"/>
    <col min="8970" max="8970" width="12.6640625" style="2" customWidth="1"/>
    <col min="8971" max="8971" width="12.5546875" style="2" customWidth="1"/>
    <col min="8972" max="8974" width="12.109375" style="2" customWidth="1"/>
    <col min="8975" max="8975" width="12.44140625" style="2" customWidth="1"/>
    <col min="8976" max="8976" width="13.44140625" style="2" customWidth="1"/>
    <col min="8977" max="8977" width="21.5546875" style="2" customWidth="1"/>
    <col min="8978" max="8978" width="3.5546875" style="2" customWidth="1"/>
    <col min="8979" max="8979" width="11" style="2" customWidth="1"/>
    <col min="8980" max="8981" width="0" style="2" hidden="1" customWidth="1"/>
    <col min="8982" max="9216" width="11.5546875" style="2"/>
    <col min="9217" max="9217" width="29.5546875" style="2" customWidth="1"/>
    <col min="9218" max="9218" width="11.6640625" style="2" customWidth="1"/>
    <col min="9219" max="9224" width="13.44140625" style="2" customWidth="1"/>
    <col min="9225" max="9225" width="26.33203125" style="2" customWidth="1"/>
    <col min="9226" max="9226" width="12.6640625" style="2" customWidth="1"/>
    <col min="9227" max="9227" width="12.5546875" style="2" customWidth="1"/>
    <col min="9228" max="9230" width="12.109375" style="2" customWidth="1"/>
    <col min="9231" max="9231" width="12.44140625" style="2" customWidth="1"/>
    <col min="9232" max="9232" width="13.44140625" style="2" customWidth="1"/>
    <col min="9233" max="9233" width="21.5546875" style="2" customWidth="1"/>
    <col min="9234" max="9234" width="3.5546875" style="2" customWidth="1"/>
    <col min="9235" max="9235" width="11" style="2" customWidth="1"/>
    <col min="9236" max="9237" width="0" style="2" hidden="1" customWidth="1"/>
    <col min="9238" max="9472" width="11.5546875" style="2"/>
    <col min="9473" max="9473" width="29.5546875" style="2" customWidth="1"/>
    <col min="9474" max="9474" width="11.6640625" style="2" customWidth="1"/>
    <col min="9475" max="9480" width="13.44140625" style="2" customWidth="1"/>
    <col min="9481" max="9481" width="26.33203125" style="2" customWidth="1"/>
    <col min="9482" max="9482" width="12.6640625" style="2" customWidth="1"/>
    <col min="9483" max="9483" width="12.5546875" style="2" customWidth="1"/>
    <col min="9484" max="9486" width="12.109375" style="2" customWidth="1"/>
    <col min="9487" max="9487" width="12.44140625" style="2" customWidth="1"/>
    <col min="9488" max="9488" width="13.44140625" style="2" customWidth="1"/>
    <col min="9489" max="9489" width="21.5546875" style="2" customWidth="1"/>
    <col min="9490" max="9490" width="3.5546875" style="2" customWidth="1"/>
    <col min="9491" max="9491" width="11" style="2" customWidth="1"/>
    <col min="9492" max="9493" width="0" style="2" hidden="1" customWidth="1"/>
    <col min="9494" max="9728" width="11.5546875" style="2"/>
    <col min="9729" max="9729" width="29.5546875" style="2" customWidth="1"/>
    <col min="9730" max="9730" width="11.6640625" style="2" customWidth="1"/>
    <col min="9731" max="9736" width="13.44140625" style="2" customWidth="1"/>
    <col min="9737" max="9737" width="26.33203125" style="2" customWidth="1"/>
    <col min="9738" max="9738" width="12.6640625" style="2" customWidth="1"/>
    <col min="9739" max="9739" width="12.5546875" style="2" customWidth="1"/>
    <col min="9740" max="9742" width="12.109375" style="2" customWidth="1"/>
    <col min="9743" max="9743" width="12.44140625" style="2" customWidth="1"/>
    <col min="9744" max="9744" width="13.44140625" style="2" customWidth="1"/>
    <col min="9745" max="9745" width="21.5546875" style="2" customWidth="1"/>
    <col min="9746" max="9746" width="3.5546875" style="2" customWidth="1"/>
    <col min="9747" max="9747" width="11" style="2" customWidth="1"/>
    <col min="9748" max="9749" width="0" style="2" hidden="1" customWidth="1"/>
    <col min="9750" max="9984" width="11.5546875" style="2"/>
    <col min="9985" max="9985" width="29.5546875" style="2" customWidth="1"/>
    <col min="9986" max="9986" width="11.6640625" style="2" customWidth="1"/>
    <col min="9987" max="9992" width="13.44140625" style="2" customWidth="1"/>
    <col min="9993" max="9993" width="26.33203125" style="2" customWidth="1"/>
    <col min="9994" max="9994" width="12.6640625" style="2" customWidth="1"/>
    <col min="9995" max="9995" width="12.5546875" style="2" customWidth="1"/>
    <col min="9996" max="9998" width="12.109375" style="2" customWidth="1"/>
    <col min="9999" max="9999" width="12.44140625" style="2" customWidth="1"/>
    <col min="10000" max="10000" width="13.44140625" style="2" customWidth="1"/>
    <col min="10001" max="10001" width="21.5546875" style="2" customWidth="1"/>
    <col min="10002" max="10002" width="3.5546875" style="2" customWidth="1"/>
    <col min="10003" max="10003" width="11" style="2" customWidth="1"/>
    <col min="10004" max="10005" width="0" style="2" hidden="1" customWidth="1"/>
    <col min="10006" max="10240" width="11.5546875" style="2"/>
    <col min="10241" max="10241" width="29.5546875" style="2" customWidth="1"/>
    <col min="10242" max="10242" width="11.6640625" style="2" customWidth="1"/>
    <col min="10243" max="10248" width="13.44140625" style="2" customWidth="1"/>
    <col min="10249" max="10249" width="26.33203125" style="2" customWidth="1"/>
    <col min="10250" max="10250" width="12.6640625" style="2" customWidth="1"/>
    <col min="10251" max="10251" width="12.5546875" style="2" customWidth="1"/>
    <col min="10252" max="10254" width="12.109375" style="2" customWidth="1"/>
    <col min="10255" max="10255" width="12.44140625" style="2" customWidth="1"/>
    <col min="10256" max="10256" width="13.44140625" style="2" customWidth="1"/>
    <col min="10257" max="10257" width="21.5546875" style="2" customWidth="1"/>
    <col min="10258" max="10258" width="3.5546875" style="2" customWidth="1"/>
    <col min="10259" max="10259" width="11" style="2" customWidth="1"/>
    <col min="10260" max="10261" width="0" style="2" hidden="1" customWidth="1"/>
    <col min="10262" max="10496" width="11.5546875" style="2"/>
    <col min="10497" max="10497" width="29.5546875" style="2" customWidth="1"/>
    <col min="10498" max="10498" width="11.6640625" style="2" customWidth="1"/>
    <col min="10499" max="10504" width="13.44140625" style="2" customWidth="1"/>
    <col min="10505" max="10505" width="26.33203125" style="2" customWidth="1"/>
    <col min="10506" max="10506" width="12.6640625" style="2" customWidth="1"/>
    <col min="10507" max="10507" width="12.5546875" style="2" customWidth="1"/>
    <col min="10508" max="10510" width="12.109375" style="2" customWidth="1"/>
    <col min="10511" max="10511" width="12.44140625" style="2" customWidth="1"/>
    <col min="10512" max="10512" width="13.44140625" style="2" customWidth="1"/>
    <col min="10513" max="10513" width="21.5546875" style="2" customWidth="1"/>
    <col min="10514" max="10514" width="3.5546875" style="2" customWidth="1"/>
    <col min="10515" max="10515" width="11" style="2" customWidth="1"/>
    <col min="10516" max="10517" width="0" style="2" hidden="1" customWidth="1"/>
    <col min="10518" max="10752" width="11.5546875" style="2"/>
    <col min="10753" max="10753" width="29.5546875" style="2" customWidth="1"/>
    <col min="10754" max="10754" width="11.6640625" style="2" customWidth="1"/>
    <col min="10755" max="10760" width="13.44140625" style="2" customWidth="1"/>
    <col min="10761" max="10761" width="26.33203125" style="2" customWidth="1"/>
    <col min="10762" max="10762" width="12.6640625" style="2" customWidth="1"/>
    <col min="10763" max="10763" width="12.5546875" style="2" customWidth="1"/>
    <col min="10764" max="10766" width="12.109375" style="2" customWidth="1"/>
    <col min="10767" max="10767" width="12.44140625" style="2" customWidth="1"/>
    <col min="10768" max="10768" width="13.44140625" style="2" customWidth="1"/>
    <col min="10769" max="10769" width="21.5546875" style="2" customWidth="1"/>
    <col min="10770" max="10770" width="3.5546875" style="2" customWidth="1"/>
    <col min="10771" max="10771" width="11" style="2" customWidth="1"/>
    <col min="10772" max="10773" width="0" style="2" hidden="1" customWidth="1"/>
    <col min="10774" max="11008" width="11.5546875" style="2"/>
    <col min="11009" max="11009" width="29.5546875" style="2" customWidth="1"/>
    <col min="11010" max="11010" width="11.6640625" style="2" customWidth="1"/>
    <col min="11011" max="11016" width="13.44140625" style="2" customWidth="1"/>
    <col min="11017" max="11017" width="26.33203125" style="2" customWidth="1"/>
    <col min="11018" max="11018" width="12.6640625" style="2" customWidth="1"/>
    <col min="11019" max="11019" width="12.5546875" style="2" customWidth="1"/>
    <col min="11020" max="11022" width="12.109375" style="2" customWidth="1"/>
    <col min="11023" max="11023" width="12.44140625" style="2" customWidth="1"/>
    <col min="11024" max="11024" width="13.44140625" style="2" customWidth="1"/>
    <col min="11025" max="11025" width="21.5546875" style="2" customWidth="1"/>
    <col min="11026" max="11026" width="3.5546875" style="2" customWidth="1"/>
    <col min="11027" max="11027" width="11" style="2" customWidth="1"/>
    <col min="11028" max="11029" width="0" style="2" hidden="1" customWidth="1"/>
    <col min="11030" max="11264" width="11.5546875" style="2"/>
    <col min="11265" max="11265" width="29.5546875" style="2" customWidth="1"/>
    <col min="11266" max="11266" width="11.6640625" style="2" customWidth="1"/>
    <col min="11267" max="11272" width="13.44140625" style="2" customWidth="1"/>
    <col min="11273" max="11273" width="26.33203125" style="2" customWidth="1"/>
    <col min="11274" max="11274" width="12.6640625" style="2" customWidth="1"/>
    <col min="11275" max="11275" width="12.5546875" style="2" customWidth="1"/>
    <col min="11276" max="11278" width="12.109375" style="2" customWidth="1"/>
    <col min="11279" max="11279" width="12.44140625" style="2" customWidth="1"/>
    <col min="11280" max="11280" width="13.44140625" style="2" customWidth="1"/>
    <col min="11281" max="11281" width="21.5546875" style="2" customWidth="1"/>
    <col min="11282" max="11282" width="3.5546875" style="2" customWidth="1"/>
    <col min="11283" max="11283" width="11" style="2" customWidth="1"/>
    <col min="11284" max="11285" width="0" style="2" hidden="1" customWidth="1"/>
    <col min="11286" max="11520" width="11.5546875" style="2"/>
    <col min="11521" max="11521" width="29.5546875" style="2" customWidth="1"/>
    <col min="11522" max="11522" width="11.6640625" style="2" customWidth="1"/>
    <col min="11523" max="11528" width="13.44140625" style="2" customWidth="1"/>
    <col min="11529" max="11529" width="26.33203125" style="2" customWidth="1"/>
    <col min="11530" max="11530" width="12.6640625" style="2" customWidth="1"/>
    <col min="11531" max="11531" width="12.5546875" style="2" customWidth="1"/>
    <col min="11532" max="11534" width="12.109375" style="2" customWidth="1"/>
    <col min="11535" max="11535" width="12.44140625" style="2" customWidth="1"/>
    <col min="11536" max="11536" width="13.44140625" style="2" customWidth="1"/>
    <col min="11537" max="11537" width="21.5546875" style="2" customWidth="1"/>
    <col min="11538" max="11538" width="3.5546875" style="2" customWidth="1"/>
    <col min="11539" max="11539" width="11" style="2" customWidth="1"/>
    <col min="11540" max="11541" width="0" style="2" hidden="1" customWidth="1"/>
    <col min="11542" max="11776" width="11.5546875" style="2"/>
    <col min="11777" max="11777" width="29.5546875" style="2" customWidth="1"/>
    <col min="11778" max="11778" width="11.6640625" style="2" customWidth="1"/>
    <col min="11779" max="11784" width="13.44140625" style="2" customWidth="1"/>
    <col min="11785" max="11785" width="26.33203125" style="2" customWidth="1"/>
    <col min="11786" max="11786" width="12.6640625" style="2" customWidth="1"/>
    <col min="11787" max="11787" width="12.5546875" style="2" customWidth="1"/>
    <col min="11788" max="11790" width="12.109375" style="2" customWidth="1"/>
    <col min="11791" max="11791" width="12.44140625" style="2" customWidth="1"/>
    <col min="11792" max="11792" width="13.44140625" style="2" customWidth="1"/>
    <col min="11793" max="11793" width="21.5546875" style="2" customWidth="1"/>
    <col min="11794" max="11794" width="3.5546875" style="2" customWidth="1"/>
    <col min="11795" max="11795" width="11" style="2" customWidth="1"/>
    <col min="11796" max="11797" width="0" style="2" hidden="1" customWidth="1"/>
    <col min="11798" max="12032" width="11.5546875" style="2"/>
    <col min="12033" max="12033" width="29.5546875" style="2" customWidth="1"/>
    <col min="12034" max="12034" width="11.6640625" style="2" customWidth="1"/>
    <col min="12035" max="12040" width="13.44140625" style="2" customWidth="1"/>
    <col min="12041" max="12041" width="26.33203125" style="2" customWidth="1"/>
    <col min="12042" max="12042" width="12.6640625" style="2" customWidth="1"/>
    <col min="12043" max="12043" width="12.5546875" style="2" customWidth="1"/>
    <col min="12044" max="12046" width="12.109375" style="2" customWidth="1"/>
    <col min="12047" max="12047" width="12.44140625" style="2" customWidth="1"/>
    <col min="12048" max="12048" width="13.44140625" style="2" customWidth="1"/>
    <col min="12049" max="12049" width="21.5546875" style="2" customWidth="1"/>
    <col min="12050" max="12050" width="3.5546875" style="2" customWidth="1"/>
    <col min="12051" max="12051" width="11" style="2" customWidth="1"/>
    <col min="12052" max="12053" width="0" style="2" hidden="1" customWidth="1"/>
    <col min="12054" max="12288" width="11.5546875" style="2"/>
    <col min="12289" max="12289" width="29.5546875" style="2" customWidth="1"/>
    <col min="12290" max="12290" width="11.6640625" style="2" customWidth="1"/>
    <col min="12291" max="12296" width="13.44140625" style="2" customWidth="1"/>
    <col min="12297" max="12297" width="26.33203125" style="2" customWidth="1"/>
    <col min="12298" max="12298" width="12.6640625" style="2" customWidth="1"/>
    <col min="12299" max="12299" width="12.5546875" style="2" customWidth="1"/>
    <col min="12300" max="12302" width="12.109375" style="2" customWidth="1"/>
    <col min="12303" max="12303" width="12.44140625" style="2" customWidth="1"/>
    <col min="12304" max="12304" width="13.44140625" style="2" customWidth="1"/>
    <col min="12305" max="12305" width="21.5546875" style="2" customWidth="1"/>
    <col min="12306" max="12306" width="3.5546875" style="2" customWidth="1"/>
    <col min="12307" max="12307" width="11" style="2" customWidth="1"/>
    <col min="12308" max="12309" width="0" style="2" hidden="1" customWidth="1"/>
    <col min="12310" max="12544" width="11.5546875" style="2"/>
    <col min="12545" max="12545" width="29.5546875" style="2" customWidth="1"/>
    <col min="12546" max="12546" width="11.6640625" style="2" customWidth="1"/>
    <col min="12547" max="12552" width="13.44140625" style="2" customWidth="1"/>
    <col min="12553" max="12553" width="26.33203125" style="2" customWidth="1"/>
    <col min="12554" max="12554" width="12.6640625" style="2" customWidth="1"/>
    <col min="12555" max="12555" width="12.5546875" style="2" customWidth="1"/>
    <col min="12556" max="12558" width="12.109375" style="2" customWidth="1"/>
    <col min="12559" max="12559" width="12.44140625" style="2" customWidth="1"/>
    <col min="12560" max="12560" width="13.44140625" style="2" customWidth="1"/>
    <col min="12561" max="12561" width="21.5546875" style="2" customWidth="1"/>
    <col min="12562" max="12562" width="3.5546875" style="2" customWidth="1"/>
    <col min="12563" max="12563" width="11" style="2" customWidth="1"/>
    <col min="12564" max="12565" width="0" style="2" hidden="1" customWidth="1"/>
    <col min="12566" max="12800" width="11.5546875" style="2"/>
    <col min="12801" max="12801" width="29.5546875" style="2" customWidth="1"/>
    <col min="12802" max="12802" width="11.6640625" style="2" customWidth="1"/>
    <col min="12803" max="12808" width="13.44140625" style="2" customWidth="1"/>
    <col min="12809" max="12809" width="26.33203125" style="2" customWidth="1"/>
    <col min="12810" max="12810" width="12.6640625" style="2" customWidth="1"/>
    <col min="12811" max="12811" width="12.5546875" style="2" customWidth="1"/>
    <col min="12812" max="12814" width="12.109375" style="2" customWidth="1"/>
    <col min="12815" max="12815" width="12.44140625" style="2" customWidth="1"/>
    <col min="12816" max="12816" width="13.44140625" style="2" customWidth="1"/>
    <col min="12817" max="12817" width="21.5546875" style="2" customWidth="1"/>
    <col min="12818" max="12818" width="3.5546875" style="2" customWidth="1"/>
    <col min="12819" max="12819" width="11" style="2" customWidth="1"/>
    <col min="12820" max="12821" width="0" style="2" hidden="1" customWidth="1"/>
    <col min="12822" max="13056" width="11.5546875" style="2"/>
    <col min="13057" max="13057" width="29.5546875" style="2" customWidth="1"/>
    <col min="13058" max="13058" width="11.6640625" style="2" customWidth="1"/>
    <col min="13059" max="13064" width="13.44140625" style="2" customWidth="1"/>
    <col min="13065" max="13065" width="26.33203125" style="2" customWidth="1"/>
    <col min="13066" max="13066" width="12.6640625" style="2" customWidth="1"/>
    <col min="13067" max="13067" width="12.5546875" style="2" customWidth="1"/>
    <col min="13068" max="13070" width="12.109375" style="2" customWidth="1"/>
    <col min="13071" max="13071" width="12.44140625" style="2" customWidth="1"/>
    <col min="13072" max="13072" width="13.44140625" style="2" customWidth="1"/>
    <col min="13073" max="13073" width="21.5546875" style="2" customWidth="1"/>
    <col min="13074" max="13074" width="3.5546875" style="2" customWidth="1"/>
    <col min="13075" max="13075" width="11" style="2" customWidth="1"/>
    <col min="13076" max="13077" width="0" style="2" hidden="1" customWidth="1"/>
    <col min="13078" max="13312" width="11.5546875" style="2"/>
    <col min="13313" max="13313" width="29.5546875" style="2" customWidth="1"/>
    <col min="13314" max="13314" width="11.6640625" style="2" customWidth="1"/>
    <col min="13315" max="13320" width="13.44140625" style="2" customWidth="1"/>
    <col min="13321" max="13321" width="26.33203125" style="2" customWidth="1"/>
    <col min="13322" max="13322" width="12.6640625" style="2" customWidth="1"/>
    <col min="13323" max="13323" width="12.5546875" style="2" customWidth="1"/>
    <col min="13324" max="13326" width="12.109375" style="2" customWidth="1"/>
    <col min="13327" max="13327" width="12.44140625" style="2" customWidth="1"/>
    <col min="13328" max="13328" width="13.44140625" style="2" customWidth="1"/>
    <col min="13329" max="13329" width="21.5546875" style="2" customWidth="1"/>
    <col min="13330" max="13330" width="3.5546875" style="2" customWidth="1"/>
    <col min="13331" max="13331" width="11" style="2" customWidth="1"/>
    <col min="13332" max="13333" width="0" style="2" hidden="1" customWidth="1"/>
    <col min="13334" max="13568" width="11.5546875" style="2"/>
    <col min="13569" max="13569" width="29.5546875" style="2" customWidth="1"/>
    <col min="13570" max="13570" width="11.6640625" style="2" customWidth="1"/>
    <col min="13571" max="13576" width="13.44140625" style="2" customWidth="1"/>
    <col min="13577" max="13577" width="26.33203125" style="2" customWidth="1"/>
    <col min="13578" max="13578" width="12.6640625" style="2" customWidth="1"/>
    <col min="13579" max="13579" width="12.5546875" style="2" customWidth="1"/>
    <col min="13580" max="13582" width="12.109375" style="2" customWidth="1"/>
    <col min="13583" max="13583" width="12.44140625" style="2" customWidth="1"/>
    <col min="13584" max="13584" width="13.44140625" style="2" customWidth="1"/>
    <col min="13585" max="13585" width="21.5546875" style="2" customWidth="1"/>
    <col min="13586" max="13586" width="3.5546875" style="2" customWidth="1"/>
    <col min="13587" max="13587" width="11" style="2" customWidth="1"/>
    <col min="13588" max="13589" width="0" style="2" hidden="1" customWidth="1"/>
    <col min="13590" max="13824" width="11.5546875" style="2"/>
    <col min="13825" max="13825" width="29.5546875" style="2" customWidth="1"/>
    <col min="13826" max="13826" width="11.6640625" style="2" customWidth="1"/>
    <col min="13827" max="13832" width="13.44140625" style="2" customWidth="1"/>
    <col min="13833" max="13833" width="26.33203125" style="2" customWidth="1"/>
    <col min="13834" max="13834" width="12.6640625" style="2" customWidth="1"/>
    <col min="13835" max="13835" width="12.5546875" style="2" customWidth="1"/>
    <col min="13836" max="13838" width="12.109375" style="2" customWidth="1"/>
    <col min="13839" max="13839" width="12.44140625" style="2" customWidth="1"/>
    <col min="13840" max="13840" width="13.44140625" style="2" customWidth="1"/>
    <col min="13841" max="13841" width="21.5546875" style="2" customWidth="1"/>
    <col min="13842" max="13842" width="3.5546875" style="2" customWidth="1"/>
    <col min="13843" max="13843" width="11" style="2" customWidth="1"/>
    <col min="13844" max="13845" width="0" style="2" hidden="1" customWidth="1"/>
    <col min="13846" max="14080" width="11.5546875" style="2"/>
    <col min="14081" max="14081" width="29.5546875" style="2" customWidth="1"/>
    <col min="14082" max="14082" width="11.6640625" style="2" customWidth="1"/>
    <col min="14083" max="14088" width="13.44140625" style="2" customWidth="1"/>
    <col min="14089" max="14089" width="26.33203125" style="2" customWidth="1"/>
    <col min="14090" max="14090" width="12.6640625" style="2" customWidth="1"/>
    <col min="14091" max="14091" width="12.5546875" style="2" customWidth="1"/>
    <col min="14092" max="14094" width="12.109375" style="2" customWidth="1"/>
    <col min="14095" max="14095" width="12.44140625" style="2" customWidth="1"/>
    <col min="14096" max="14096" width="13.44140625" style="2" customWidth="1"/>
    <col min="14097" max="14097" width="21.5546875" style="2" customWidth="1"/>
    <col min="14098" max="14098" width="3.5546875" style="2" customWidth="1"/>
    <col min="14099" max="14099" width="11" style="2" customWidth="1"/>
    <col min="14100" max="14101" width="0" style="2" hidden="1" customWidth="1"/>
    <col min="14102" max="14336" width="11.5546875" style="2"/>
    <col min="14337" max="14337" width="29.5546875" style="2" customWidth="1"/>
    <col min="14338" max="14338" width="11.6640625" style="2" customWidth="1"/>
    <col min="14339" max="14344" width="13.44140625" style="2" customWidth="1"/>
    <col min="14345" max="14345" width="26.33203125" style="2" customWidth="1"/>
    <col min="14346" max="14346" width="12.6640625" style="2" customWidth="1"/>
    <col min="14347" max="14347" width="12.5546875" style="2" customWidth="1"/>
    <col min="14348" max="14350" width="12.109375" style="2" customWidth="1"/>
    <col min="14351" max="14351" width="12.44140625" style="2" customWidth="1"/>
    <col min="14352" max="14352" width="13.44140625" style="2" customWidth="1"/>
    <col min="14353" max="14353" width="21.5546875" style="2" customWidth="1"/>
    <col min="14354" max="14354" width="3.5546875" style="2" customWidth="1"/>
    <col min="14355" max="14355" width="11" style="2" customWidth="1"/>
    <col min="14356" max="14357" width="0" style="2" hidden="1" customWidth="1"/>
    <col min="14358" max="14592" width="11.5546875" style="2"/>
    <col min="14593" max="14593" width="29.5546875" style="2" customWidth="1"/>
    <col min="14594" max="14594" width="11.6640625" style="2" customWidth="1"/>
    <col min="14595" max="14600" width="13.44140625" style="2" customWidth="1"/>
    <col min="14601" max="14601" width="26.33203125" style="2" customWidth="1"/>
    <col min="14602" max="14602" width="12.6640625" style="2" customWidth="1"/>
    <col min="14603" max="14603" width="12.5546875" style="2" customWidth="1"/>
    <col min="14604" max="14606" width="12.109375" style="2" customWidth="1"/>
    <col min="14607" max="14607" width="12.44140625" style="2" customWidth="1"/>
    <col min="14608" max="14608" width="13.44140625" style="2" customWidth="1"/>
    <col min="14609" max="14609" width="21.5546875" style="2" customWidth="1"/>
    <col min="14610" max="14610" width="3.5546875" style="2" customWidth="1"/>
    <col min="14611" max="14611" width="11" style="2" customWidth="1"/>
    <col min="14612" max="14613" width="0" style="2" hidden="1" customWidth="1"/>
    <col min="14614" max="14848" width="11.5546875" style="2"/>
    <col min="14849" max="14849" width="29.5546875" style="2" customWidth="1"/>
    <col min="14850" max="14850" width="11.6640625" style="2" customWidth="1"/>
    <col min="14851" max="14856" width="13.44140625" style="2" customWidth="1"/>
    <col min="14857" max="14857" width="26.33203125" style="2" customWidth="1"/>
    <col min="14858" max="14858" width="12.6640625" style="2" customWidth="1"/>
    <col min="14859" max="14859" width="12.5546875" style="2" customWidth="1"/>
    <col min="14860" max="14862" width="12.109375" style="2" customWidth="1"/>
    <col min="14863" max="14863" width="12.44140625" style="2" customWidth="1"/>
    <col min="14864" max="14864" width="13.44140625" style="2" customWidth="1"/>
    <col min="14865" max="14865" width="21.5546875" style="2" customWidth="1"/>
    <col min="14866" max="14866" width="3.5546875" style="2" customWidth="1"/>
    <col min="14867" max="14867" width="11" style="2" customWidth="1"/>
    <col min="14868" max="14869" width="0" style="2" hidden="1" customWidth="1"/>
    <col min="14870" max="15104" width="11.5546875" style="2"/>
    <col min="15105" max="15105" width="29.5546875" style="2" customWidth="1"/>
    <col min="15106" max="15106" width="11.6640625" style="2" customWidth="1"/>
    <col min="15107" max="15112" width="13.44140625" style="2" customWidth="1"/>
    <col min="15113" max="15113" width="26.33203125" style="2" customWidth="1"/>
    <col min="15114" max="15114" width="12.6640625" style="2" customWidth="1"/>
    <col min="15115" max="15115" width="12.5546875" style="2" customWidth="1"/>
    <col min="15116" max="15118" width="12.109375" style="2" customWidth="1"/>
    <col min="15119" max="15119" width="12.44140625" style="2" customWidth="1"/>
    <col min="15120" max="15120" width="13.44140625" style="2" customWidth="1"/>
    <col min="15121" max="15121" width="21.5546875" style="2" customWidth="1"/>
    <col min="15122" max="15122" width="3.5546875" style="2" customWidth="1"/>
    <col min="15123" max="15123" width="11" style="2" customWidth="1"/>
    <col min="15124" max="15125" width="0" style="2" hidden="1" customWidth="1"/>
    <col min="15126" max="15360" width="11.5546875" style="2"/>
    <col min="15361" max="15361" width="29.5546875" style="2" customWidth="1"/>
    <col min="15362" max="15362" width="11.6640625" style="2" customWidth="1"/>
    <col min="15363" max="15368" width="13.44140625" style="2" customWidth="1"/>
    <col min="15369" max="15369" width="26.33203125" style="2" customWidth="1"/>
    <col min="15370" max="15370" width="12.6640625" style="2" customWidth="1"/>
    <col min="15371" max="15371" width="12.5546875" style="2" customWidth="1"/>
    <col min="15372" max="15374" width="12.109375" style="2" customWidth="1"/>
    <col min="15375" max="15375" width="12.44140625" style="2" customWidth="1"/>
    <col min="15376" max="15376" width="13.44140625" style="2" customWidth="1"/>
    <col min="15377" max="15377" width="21.5546875" style="2" customWidth="1"/>
    <col min="15378" max="15378" width="3.5546875" style="2" customWidth="1"/>
    <col min="15379" max="15379" width="11" style="2" customWidth="1"/>
    <col min="15380" max="15381" width="0" style="2" hidden="1" customWidth="1"/>
    <col min="15382" max="15616" width="11.5546875" style="2"/>
    <col min="15617" max="15617" width="29.5546875" style="2" customWidth="1"/>
    <col min="15618" max="15618" width="11.6640625" style="2" customWidth="1"/>
    <col min="15619" max="15624" width="13.44140625" style="2" customWidth="1"/>
    <col min="15625" max="15625" width="26.33203125" style="2" customWidth="1"/>
    <col min="15626" max="15626" width="12.6640625" style="2" customWidth="1"/>
    <col min="15627" max="15627" width="12.5546875" style="2" customWidth="1"/>
    <col min="15628" max="15630" width="12.109375" style="2" customWidth="1"/>
    <col min="15631" max="15631" width="12.44140625" style="2" customWidth="1"/>
    <col min="15632" max="15632" width="13.44140625" style="2" customWidth="1"/>
    <col min="15633" max="15633" width="21.5546875" style="2" customWidth="1"/>
    <col min="15634" max="15634" width="3.5546875" style="2" customWidth="1"/>
    <col min="15635" max="15635" width="11" style="2" customWidth="1"/>
    <col min="15636" max="15637" width="0" style="2" hidden="1" customWidth="1"/>
    <col min="15638" max="15872" width="11.5546875" style="2"/>
    <col min="15873" max="15873" width="29.5546875" style="2" customWidth="1"/>
    <col min="15874" max="15874" width="11.6640625" style="2" customWidth="1"/>
    <col min="15875" max="15880" width="13.44140625" style="2" customWidth="1"/>
    <col min="15881" max="15881" width="26.33203125" style="2" customWidth="1"/>
    <col min="15882" max="15882" width="12.6640625" style="2" customWidth="1"/>
    <col min="15883" max="15883" width="12.5546875" style="2" customWidth="1"/>
    <col min="15884" max="15886" width="12.109375" style="2" customWidth="1"/>
    <col min="15887" max="15887" width="12.44140625" style="2" customWidth="1"/>
    <col min="15888" max="15888" width="13.44140625" style="2" customWidth="1"/>
    <col min="15889" max="15889" width="21.5546875" style="2" customWidth="1"/>
    <col min="15890" max="15890" width="3.5546875" style="2" customWidth="1"/>
    <col min="15891" max="15891" width="11" style="2" customWidth="1"/>
    <col min="15892" max="15893" width="0" style="2" hidden="1" customWidth="1"/>
    <col min="15894" max="16128" width="11.5546875" style="2"/>
    <col min="16129" max="16129" width="29.5546875" style="2" customWidth="1"/>
    <col min="16130" max="16130" width="11.6640625" style="2" customWidth="1"/>
    <col min="16131" max="16136" width="13.44140625" style="2" customWidth="1"/>
    <col min="16137" max="16137" width="26.33203125" style="2" customWidth="1"/>
    <col min="16138" max="16138" width="12.6640625" style="2" customWidth="1"/>
    <col min="16139" max="16139" width="12.5546875" style="2" customWidth="1"/>
    <col min="16140" max="16142" width="12.109375" style="2" customWidth="1"/>
    <col min="16143" max="16143" width="12.44140625" style="2" customWidth="1"/>
    <col min="16144" max="16144" width="13.44140625" style="2" customWidth="1"/>
    <col min="16145" max="16145" width="21.5546875" style="2" customWidth="1"/>
    <col min="16146" max="16146" width="3.5546875" style="2" customWidth="1"/>
    <col min="16147" max="16147" width="11" style="2" customWidth="1"/>
    <col min="16148" max="16149" width="0" style="2" hidden="1" customWidth="1"/>
    <col min="16150" max="16384" width="11.5546875" style="2"/>
  </cols>
  <sheetData>
    <row r="1" spans="1:16" ht="25.8" x14ac:dyDescent="0.3">
      <c r="A1" s="187" t="s">
        <v>141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 t="s">
        <v>170</v>
      </c>
      <c r="M1" s="189"/>
      <c r="N1" s="189"/>
      <c r="O1" s="189"/>
      <c r="P1" s="1"/>
    </row>
    <row r="2" spans="1:16" ht="16.2" thickBot="1" x14ac:dyDescent="0.35"/>
    <row r="3" spans="1:16" ht="18.75" customHeight="1" thickTop="1" thickBot="1" x14ac:dyDescent="0.35">
      <c r="A3" s="6" t="s">
        <v>0</v>
      </c>
      <c r="B3" s="7">
        <v>2021</v>
      </c>
      <c r="C3" s="190">
        <v>2022</v>
      </c>
      <c r="D3" s="191"/>
      <c r="E3" s="185"/>
      <c r="F3" s="192"/>
      <c r="G3" s="194">
        <v>2023</v>
      </c>
      <c r="H3" s="195"/>
      <c r="I3" s="8" t="s">
        <v>1</v>
      </c>
      <c r="J3" s="7">
        <v>2021</v>
      </c>
      <c r="K3" s="190">
        <v>2022</v>
      </c>
      <c r="L3" s="193"/>
      <c r="M3" s="193"/>
      <c r="N3" s="192"/>
      <c r="O3" s="194">
        <v>2023</v>
      </c>
      <c r="P3" s="195"/>
    </row>
    <row r="4" spans="1:16" ht="34.5" customHeight="1" thickTop="1" thickBot="1" x14ac:dyDescent="0.35">
      <c r="A4" s="9"/>
      <c r="B4" s="10" t="s">
        <v>2</v>
      </c>
      <c r="C4" s="11" t="s">
        <v>3</v>
      </c>
      <c r="D4" s="11" t="s">
        <v>4</v>
      </c>
      <c r="E4" s="146" t="s">
        <v>158</v>
      </c>
      <c r="F4" s="146" t="s">
        <v>159</v>
      </c>
      <c r="G4" s="11" t="s">
        <v>5</v>
      </c>
      <c r="H4" s="146" t="s">
        <v>159</v>
      </c>
      <c r="I4" s="12"/>
      <c r="J4" s="13" t="s">
        <v>2</v>
      </c>
      <c r="K4" s="11" t="s">
        <v>5</v>
      </c>
      <c r="L4" s="164" t="s">
        <v>2</v>
      </c>
      <c r="M4" s="146" t="s">
        <v>158</v>
      </c>
      <c r="N4" s="165" t="s">
        <v>159</v>
      </c>
      <c r="O4" s="145" t="s">
        <v>5</v>
      </c>
      <c r="P4" s="147" t="s">
        <v>159</v>
      </c>
    </row>
    <row r="5" spans="1:16" ht="16.2" thickBot="1" x14ac:dyDescent="0.35">
      <c r="A5" s="183" t="s">
        <v>6</v>
      </c>
      <c r="B5" s="184"/>
      <c r="C5" s="184"/>
      <c r="D5" s="184"/>
      <c r="E5" s="184"/>
      <c r="F5" s="184"/>
      <c r="G5" s="185"/>
      <c r="H5" s="185"/>
      <c r="I5" s="185"/>
      <c r="J5" s="185"/>
      <c r="K5" s="185"/>
      <c r="L5" s="185"/>
      <c r="M5" s="185"/>
      <c r="N5" s="185"/>
      <c r="O5" s="185"/>
      <c r="P5" s="186"/>
    </row>
    <row r="6" spans="1:16" x14ac:dyDescent="0.3">
      <c r="A6" s="9"/>
      <c r="B6" s="20"/>
      <c r="C6" s="92"/>
      <c r="D6" s="20"/>
      <c r="E6" s="109"/>
      <c r="F6" s="109"/>
      <c r="G6" s="20"/>
      <c r="I6" s="19"/>
      <c r="J6" s="20"/>
      <c r="K6" s="3"/>
      <c r="L6" s="20"/>
      <c r="M6" s="20"/>
      <c r="N6" s="109"/>
      <c r="O6" s="3"/>
      <c r="P6" s="148"/>
    </row>
    <row r="7" spans="1:16" x14ac:dyDescent="0.3">
      <c r="A7" s="16" t="s">
        <v>127</v>
      </c>
      <c r="B7" s="17">
        <f>-316+752.8</f>
        <v>436.79999999999995</v>
      </c>
      <c r="C7" s="62">
        <v>6000</v>
      </c>
      <c r="D7" s="17">
        <v>15387.73</v>
      </c>
      <c r="E7" s="100">
        <f>+D7/$D$20</f>
        <v>0.17279489106829438</v>
      </c>
      <c r="F7" s="100"/>
      <c r="G7" s="174">
        <f>8487.64+12.36</f>
        <v>8500</v>
      </c>
      <c r="H7" s="129"/>
      <c r="I7" s="19" t="s">
        <v>7</v>
      </c>
      <c r="J7" s="20"/>
      <c r="K7" s="3"/>
      <c r="L7" s="20"/>
      <c r="M7" s="20"/>
      <c r="N7" s="109"/>
      <c r="O7" s="3"/>
      <c r="P7" s="157"/>
    </row>
    <row r="8" spans="1:16" x14ac:dyDescent="0.3">
      <c r="A8" s="16" t="s">
        <v>142</v>
      </c>
      <c r="B8" s="17">
        <f>-1000+5292.28</f>
        <v>4292.28</v>
      </c>
      <c r="C8" s="62">
        <v>8100</v>
      </c>
      <c r="D8" s="17">
        <v>3157.3</v>
      </c>
      <c r="E8" s="100">
        <f>+D8/$D$20</f>
        <v>3.5454567344886209E-2</v>
      </c>
      <c r="F8" s="100"/>
      <c r="G8" s="174">
        <v>4000</v>
      </c>
      <c r="H8" s="129"/>
      <c r="I8" s="19" t="s">
        <v>7</v>
      </c>
      <c r="J8" s="20"/>
      <c r="K8" s="3"/>
      <c r="L8" s="20"/>
      <c r="M8" s="20"/>
      <c r="N8" s="109"/>
      <c r="O8" s="181"/>
      <c r="P8" s="157"/>
    </row>
    <row r="9" spans="1:16" x14ac:dyDescent="0.3">
      <c r="A9" s="16" t="s">
        <v>8</v>
      </c>
      <c r="B9" s="17">
        <v>0</v>
      </c>
      <c r="C9" s="62">
        <v>27000</v>
      </c>
      <c r="D9" s="17">
        <v>29815.98</v>
      </c>
      <c r="E9" s="100">
        <f t="shared" ref="E9:E18" si="0">+D9/$D$20</f>
        <v>0.33481540267436743</v>
      </c>
      <c r="F9" s="100"/>
      <c r="G9" s="174">
        <v>25000</v>
      </c>
      <c r="H9" s="129"/>
      <c r="I9" s="19" t="s">
        <v>9</v>
      </c>
      <c r="J9" s="20"/>
      <c r="K9" s="3">
        <v>18000</v>
      </c>
      <c r="L9" s="20">
        <v>16100</v>
      </c>
      <c r="M9" s="109">
        <f>+L9/$L$20</f>
        <v>1</v>
      </c>
      <c r="N9" s="109"/>
      <c r="O9" s="176">
        <v>16000</v>
      </c>
      <c r="P9" s="157"/>
    </row>
    <row r="10" spans="1:16" x14ac:dyDescent="0.3">
      <c r="A10" s="16" t="s">
        <v>10</v>
      </c>
      <c r="B10" s="17">
        <v>0</v>
      </c>
      <c r="C10" s="62">
        <v>1300</v>
      </c>
      <c r="D10" s="17">
        <v>342.9</v>
      </c>
      <c r="E10" s="100">
        <f t="shared" si="0"/>
        <v>3.850559383828423E-3</v>
      </c>
      <c r="F10" s="100"/>
      <c r="G10" s="174">
        <v>500</v>
      </c>
      <c r="H10" s="129"/>
      <c r="I10" s="19" t="s">
        <v>7</v>
      </c>
      <c r="J10" s="20"/>
      <c r="K10" s="3">
        <v>100</v>
      </c>
      <c r="L10" s="20"/>
      <c r="M10" s="20"/>
      <c r="N10" s="109"/>
      <c r="O10" s="176">
        <f>500*2</f>
        <v>1000</v>
      </c>
      <c r="P10" s="157"/>
    </row>
    <row r="11" spans="1:16" x14ac:dyDescent="0.3">
      <c r="A11" s="16" t="s">
        <v>155</v>
      </c>
      <c r="B11" s="17">
        <v>0</v>
      </c>
      <c r="C11" s="62">
        <v>1300</v>
      </c>
      <c r="D11" s="17"/>
      <c r="E11" s="100">
        <f t="shared" si="0"/>
        <v>0</v>
      </c>
      <c r="F11" s="101"/>
      <c r="G11" s="175"/>
      <c r="H11" s="130"/>
      <c r="I11" s="19"/>
      <c r="J11" s="20"/>
      <c r="K11" s="3"/>
      <c r="L11" s="20"/>
      <c r="M11" s="20"/>
      <c r="N11" s="109"/>
      <c r="O11" s="181"/>
      <c r="P11" s="153"/>
    </row>
    <row r="12" spans="1:16" x14ac:dyDescent="0.3">
      <c r="A12" s="16" t="s">
        <v>11</v>
      </c>
      <c r="B12" s="17">
        <f>-1072.45+8818.52</f>
        <v>7746.0700000000006</v>
      </c>
      <c r="C12" s="62">
        <v>17400</v>
      </c>
      <c r="D12" s="17">
        <v>12243.45</v>
      </c>
      <c r="E12" s="100">
        <f t="shared" si="0"/>
        <v>0.13748653044016948</v>
      </c>
      <c r="F12" s="101"/>
      <c r="G12" s="175">
        <f>10420.49-20.49</f>
        <v>10400</v>
      </c>
      <c r="H12" s="129"/>
      <c r="I12" s="19" t="s">
        <v>166</v>
      </c>
      <c r="J12" s="20">
        <v>31</v>
      </c>
      <c r="K12" s="3"/>
      <c r="L12" s="20"/>
      <c r="M12" s="20"/>
      <c r="N12" s="109"/>
      <c r="O12" s="181">
        <v>1200</v>
      </c>
      <c r="P12" s="157"/>
    </row>
    <row r="13" spans="1:16" x14ac:dyDescent="0.3">
      <c r="A13" s="16" t="s">
        <v>12</v>
      </c>
      <c r="B13" s="17">
        <v>303.31</v>
      </c>
      <c r="C13" s="62">
        <v>8000</v>
      </c>
      <c r="D13" s="17">
        <v>9300</v>
      </c>
      <c r="E13" s="100">
        <f t="shared" si="0"/>
        <v>0.10443336911520658</v>
      </c>
      <c r="F13" s="101"/>
      <c r="G13" s="175">
        <v>10000</v>
      </c>
      <c r="H13" s="129"/>
      <c r="I13" s="19"/>
      <c r="J13" s="20"/>
      <c r="K13" s="3"/>
      <c r="L13" s="20"/>
      <c r="M13" s="20"/>
      <c r="N13" s="109"/>
      <c r="O13" s="3"/>
      <c r="P13" s="157"/>
    </row>
    <row r="14" spans="1:16" x14ac:dyDescent="0.3">
      <c r="A14" s="21" t="s">
        <v>13</v>
      </c>
      <c r="B14" s="22">
        <f>SUM(B7:B13)</f>
        <v>12778.460000000001</v>
      </c>
      <c r="C14" s="82">
        <f>SUM(C7:C13)</f>
        <v>69100</v>
      </c>
      <c r="D14" s="22">
        <f>SUM(D7:D13)</f>
        <v>70247.360000000001</v>
      </c>
      <c r="E14" s="102">
        <f>+D14/$D$20</f>
        <v>0.7888353200267525</v>
      </c>
      <c r="F14" s="102"/>
      <c r="G14" s="22">
        <f>SUM(G7:G13)</f>
        <v>58400</v>
      </c>
      <c r="H14" s="127">
        <f>+G14/$G$20</f>
        <v>0.78825180865997191</v>
      </c>
      <c r="I14" s="19"/>
      <c r="J14" s="20"/>
      <c r="K14" s="3"/>
      <c r="L14" s="20"/>
      <c r="M14" s="20"/>
      <c r="N14" s="109"/>
      <c r="O14" s="3"/>
      <c r="P14" s="157"/>
    </row>
    <row r="15" spans="1:16" x14ac:dyDescent="0.3">
      <c r="A15" s="16"/>
      <c r="B15" s="17"/>
      <c r="C15" s="62"/>
      <c r="D15" s="17"/>
      <c r="E15" s="101"/>
      <c r="F15" s="101"/>
      <c r="G15" s="17"/>
      <c r="H15" s="130"/>
      <c r="I15" s="19" t="s">
        <v>16</v>
      </c>
      <c r="J15" s="20">
        <v>2000</v>
      </c>
      <c r="K15" s="3"/>
      <c r="L15" s="20"/>
      <c r="M15" s="20"/>
      <c r="N15" s="109"/>
      <c r="O15" s="3"/>
      <c r="P15" s="157"/>
    </row>
    <row r="16" spans="1:16" x14ac:dyDescent="0.3">
      <c r="A16" s="16" t="s">
        <v>15</v>
      </c>
      <c r="B16" s="17">
        <v>15419.61</v>
      </c>
      <c r="C16" s="62">
        <v>18510.12</v>
      </c>
      <c r="D16" s="17">
        <f>+C16/C$176*D$176</f>
        <v>18491.186299579535</v>
      </c>
      <c r="E16" s="100">
        <f t="shared" si="0"/>
        <v>0.2076448262582839</v>
      </c>
      <c r="F16" s="101"/>
      <c r="G16" s="167">
        <v>15688</v>
      </c>
      <c r="H16" s="130"/>
      <c r="I16" s="19" t="s">
        <v>18</v>
      </c>
      <c r="J16" s="20"/>
      <c r="K16" s="3"/>
      <c r="L16" s="20"/>
      <c r="M16" s="20"/>
      <c r="N16" s="109"/>
      <c r="O16" s="3"/>
      <c r="P16" s="157"/>
    </row>
    <row r="17" spans="1:16" x14ac:dyDescent="0.3">
      <c r="A17" s="16" t="s">
        <v>17</v>
      </c>
      <c r="B17" s="17">
        <v>1311.1</v>
      </c>
      <c r="C17" s="62"/>
      <c r="D17" s="17">
        <v>313.45</v>
      </c>
      <c r="E17" s="100">
        <f t="shared" si="0"/>
        <v>3.5198537149636021E-3</v>
      </c>
      <c r="F17" s="101"/>
      <c r="G17" s="17"/>
      <c r="H17" s="130"/>
      <c r="I17" s="19"/>
      <c r="J17" s="20"/>
      <c r="K17" s="3"/>
      <c r="L17" s="20"/>
      <c r="M17" s="20"/>
      <c r="N17" s="109"/>
      <c r="O17" s="3"/>
      <c r="P17" s="157"/>
    </row>
    <row r="18" spans="1:16" x14ac:dyDescent="0.3">
      <c r="A18" s="21" t="s">
        <v>19</v>
      </c>
      <c r="B18" s="23">
        <f>SUM(B16:B17)</f>
        <v>16730.71</v>
      </c>
      <c r="C18" s="86">
        <f>SUM(C16:C17)</f>
        <v>18510.12</v>
      </c>
      <c r="D18" s="23">
        <f>SUM(D16:D17)</f>
        <v>18804.636299579535</v>
      </c>
      <c r="E18" s="103">
        <f t="shared" si="0"/>
        <v>0.21116467997324753</v>
      </c>
      <c r="F18" s="103"/>
      <c r="G18" s="23">
        <f>SUM(G16:G17)</f>
        <v>15688</v>
      </c>
      <c r="H18" s="131"/>
      <c r="I18" s="19"/>
      <c r="J18" s="20"/>
      <c r="K18" s="3"/>
      <c r="L18" s="20"/>
      <c r="M18" s="20"/>
      <c r="N18" s="109"/>
      <c r="O18" s="3"/>
      <c r="P18" s="157"/>
    </row>
    <row r="19" spans="1:16" ht="21.75" customHeight="1" thickBot="1" x14ac:dyDescent="0.35">
      <c r="A19" s="25"/>
      <c r="B19" s="26"/>
      <c r="C19" s="64"/>
      <c r="D19" s="26"/>
      <c r="E19" s="104"/>
      <c r="F19" s="104"/>
      <c r="G19" s="26"/>
      <c r="H19" s="132"/>
      <c r="I19" s="27"/>
      <c r="J19" s="28"/>
      <c r="K19" s="90"/>
      <c r="L19" s="28"/>
      <c r="M19" s="28"/>
      <c r="N19" s="113"/>
      <c r="O19" s="90"/>
      <c r="P19" s="149"/>
    </row>
    <row r="20" spans="1:16" ht="16.2" thickBot="1" x14ac:dyDescent="0.35">
      <c r="A20" s="29" t="s">
        <v>21</v>
      </c>
      <c r="B20" s="66">
        <f>+B14+B18</f>
        <v>29509.17</v>
      </c>
      <c r="C20" s="66">
        <f>+C14+C18</f>
        <v>87610.12</v>
      </c>
      <c r="D20" s="66">
        <f>+D14+D18</f>
        <v>89051.996299579536</v>
      </c>
      <c r="E20" s="105">
        <f>+D20/C20</f>
        <v>1.0164578738116046</v>
      </c>
      <c r="F20" s="105">
        <f>+D20/$D$173</f>
        <v>0.10174486684041116</v>
      </c>
      <c r="G20" s="66">
        <f>+G14+G18</f>
        <v>74088</v>
      </c>
      <c r="H20" s="105">
        <f>+G20/$G$173</f>
        <v>8.5799652576722646E-2</v>
      </c>
      <c r="I20" s="31"/>
      <c r="J20" s="75">
        <f>SUM(J7:J18)</f>
        <v>2031</v>
      </c>
      <c r="K20" s="74">
        <f>SUM(K7:K18)</f>
        <v>18100</v>
      </c>
      <c r="L20" s="74">
        <f>SUM(L7:L18)</f>
        <v>16100</v>
      </c>
      <c r="M20" s="166">
        <f>+L20/K20</f>
        <v>0.88950276243093918</v>
      </c>
      <c r="N20" s="156">
        <f>+L20/L$173</f>
        <v>2.0655710792131628E-2</v>
      </c>
      <c r="O20" s="74">
        <f>SUM(O7:O18)</f>
        <v>18200</v>
      </c>
      <c r="P20" s="154">
        <f>+O20/$O$173</f>
        <v>2.1077012159814709E-2</v>
      </c>
    </row>
    <row r="21" spans="1:16" ht="18" customHeight="1" thickBot="1" x14ac:dyDescent="0.35">
      <c r="A21" s="33"/>
      <c r="B21" s="34"/>
      <c r="C21" s="34"/>
      <c r="D21" s="34"/>
      <c r="E21" s="106"/>
      <c r="F21" s="106"/>
      <c r="G21" s="34"/>
      <c r="H21" s="106"/>
      <c r="I21" s="35"/>
      <c r="J21" s="34"/>
      <c r="K21" s="34"/>
      <c r="L21" s="34"/>
      <c r="M21" s="34"/>
      <c r="N21" s="106"/>
      <c r="O21" s="34"/>
      <c r="P21" s="161"/>
    </row>
    <row r="22" spans="1:16" ht="16.8" thickTop="1" thickBot="1" x14ac:dyDescent="0.35">
      <c r="A22" s="200" t="s">
        <v>22</v>
      </c>
      <c r="B22" s="197"/>
      <c r="C22" s="197"/>
      <c r="D22" s="197"/>
      <c r="E22" s="197"/>
      <c r="F22" s="197"/>
      <c r="G22" s="198"/>
      <c r="H22" s="198"/>
      <c r="I22" s="198"/>
      <c r="J22" s="198"/>
      <c r="K22" s="198"/>
      <c r="L22" s="198"/>
      <c r="M22" s="198"/>
      <c r="N22" s="198"/>
      <c r="O22" s="198"/>
      <c r="P22" s="199"/>
    </row>
    <row r="23" spans="1:16" x14ac:dyDescent="0.3">
      <c r="A23" s="150" t="s">
        <v>23</v>
      </c>
      <c r="B23" s="151">
        <v>0</v>
      </c>
      <c r="C23" s="152">
        <v>3000</v>
      </c>
      <c r="D23" s="151"/>
      <c r="E23" s="107"/>
      <c r="F23" s="107"/>
      <c r="G23" s="152"/>
      <c r="I23" s="19"/>
      <c r="J23" s="20"/>
      <c r="K23" s="3"/>
      <c r="L23" s="20"/>
      <c r="M23" s="20"/>
      <c r="N23" s="109"/>
      <c r="O23" s="3"/>
      <c r="P23" s="148"/>
    </row>
    <row r="24" spans="1:16" x14ac:dyDescent="0.3">
      <c r="A24" s="16" t="s">
        <v>25</v>
      </c>
      <c r="B24" s="17">
        <f>9033.48+12173.57+24259.98</f>
        <v>45467.03</v>
      </c>
      <c r="C24" s="18">
        <v>51577</v>
      </c>
      <c r="D24" s="17">
        <v>56214.59</v>
      </c>
      <c r="E24" s="100">
        <f>+D24/$D$49</f>
        <v>0.18893143301671642</v>
      </c>
      <c r="F24" s="100"/>
      <c r="G24" s="174">
        <v>61806</v>
      </c>
      <c r="H24" s="129"/>
      <c r="I24" s="19" t="s">
        <v>24</v>
      </c>
      <c r="J24" s="20">
        <v>525</v>
      </c>
      <c r="K24" s="3"/>
      <c r="L24" s="20"/>
      <c r="M24" s="20"/>
      <c r="N24" s="109"/>
      <c r="O24" s="3"/>
      <c r="P24" s="157"/>
    </row>
    <row r="25" spans="1:16" x14ac:dyDescent="0.3">
      <c r="A25" s="16" t="s">
        <v>26</v>
      </c>
      <c r="B25" s="17">
        <f>2513.04+7454.28+7963.67</f>
        <v>17930.989999999998</v>
      </c>
      <c r="C25" s="18">
        <v>42771</v>
      </c>
      <c r="D25" s="17">
        <f>40974.81+1202.04</f>
        <v>42176.85</v>
      </c>
      <c r="E25" s="100">
        <f t="shared" ref="E25:E47" si="1">+D25/$D$49</f>
        <v>0.14175203822763977</v>
      </c>
      <c r="F25" s="100"/>
      <c r="G25" s="174">
        <f>2940+60354-5000+1500</f>
        <v>59794</v>
      </c>
      <c r="H25" s="129"/>
      <c r="I25" s="19" t="s">
        <v>136</v>
      </c>
      <c r="J25" s="20">
        <v>17000</v>
      </c>
      <c r="K25" s="3">
        <v>28000</v>
      </c>
      <c r="L25" s="20">
        <f>5000+5000+10200+11000</f>
        <v>31200</v>
      </c>
      <c r="M25" s="109">
        <f>+L25/$L$49</f>
        <v>0.2504488814567648</v>
      </c>
      <c r="N25" s="109"/>
      <c r="O25" s="176">
        <f>21200+10000</f>
        <v>31200</v>
      </c>
      <c r="P25" s="157"/>
    </row>
    <row r="26" spans="1:16" x14ac:dyDescent="0.3">
      <c r="A26" s="16" t="s">
        <v>128</v>
      </c>
      <c r="B26" s="17">
        <f>229.75+3285.65+1067.94</f>
        <v>4583.34</v>
      </c>
      <c r="C26" s="18">
        <v>8400</v>
      </c>
      <c r="D26" s="17">
        <v>11507.12</v>
      </c>
      <c r="E26" s="100">
        <f t="shared" si="1"/>
        <v>3.8674242247347494E-2</v>
      </c>
      <c r="F26" s="100"/>
      <c r="G26" s="174">
        <v>10000</v>
      </c>
      <c r="H26" s="129"/>
      <c r="I26" s="19" t="s">
        <v>27</v>
      </c>
      <c r="J26" s="20">
        <v>3200</v>
      </c>
      <c r="K26" s="3">
        <v>2050</v>
      </c>
      <c r="L26" s="20"/>
      <c r="M26" s="109"/>
      <c r="N26" s="109"/>
      <c r="O26" s="176"/>
      <c r="P26" s="157"/>
    </row>
    <row r="27" spans="1:16" x14ac:dyDescent="0.3">
      <c r="A27" s="16" t="s">
        <v>124</v>
      </c>
      <c r="B27" s="17">
        <f>31530.5+4546</f>
        <v>36076.5</v>
      </c>
      <c r="C27" s="17">
        <v>38800</v>
      </c>
      <c r="D27" s="17">
        <v>24923.31</v>
      </c>
      <c r="E27" s="101">
        <f t="shared" si="1"/>
        <v>8.3764671659436782E-2</v>
      </c>
      <c r="F27" s="101"/>
      <c r="G27" s="167">
        <v>37300</v>
      </c>
      <c r="H27" s="129"/>
      <c r="I27" s="19" t="s">
        <v>28</v>
      </c>
      <c r="J27" s="20">
        <v>21100</v>
      </c>
      <c r="K27" s="3">
        <v>30000</v>
      </c>
      <c r="L27" s="20">
        <f>5100+7000+9000+1700+2333+3000</f>
        <v>28133</v>
      </c>
      <c r="M27" s="109">
        <f>+L27/$L$49</f>
        <v>0.22582943532125527</v>
      </c>
      <c r="N27" s="109"/>
      <c r="O27" s="176">
        <v>14600</v>
      </c>
      <c r="P27" s="157"/>
    </row>
    <row r="28" spans="1:16" x14ac:dyDescent="0.3">
      <c r="A28" s="21" t="s">
        <v>29</v>
      </c>
      <c r="B28" s="36">
        <f>+SUM(B23:B27)</f>
        <v>104057.86</v>
      </c>
      <c r="C28" s="81">
        <f>+SUM(C23:C27)</f>
        <v>144548</v>
      </c>
      <c r="D28" s="36">
        <f>+SUM(D23:D27)</f>
        <v>134821.87</v>
      </c>
      <c r="E28" s="108">
        <f t="shared" si="1"/>
        <v>0.45312238515114045</v>
      </c>
      <c r="F28" s="108"/>
      <c r="G28" s="36">
        <f>+SUM(G23:G27)</f>
        <v>168900</v>
      </c>
      <c r="H28" s="133">
        <f>+G28/G$49</f>
        <v>0.51066222822882745</v>
      </c>
      <c r="I28" s="19" t="s">
        <v>30</v>
      </c>
      <c r="J28" s="20">
        <v>14008.34</v>
      </c>
      <c r="K28" s="3">
        <v>17765</v>
      </c>
      <c r="L28" s="20">
        <f>1575+1650+3750+3900+8900+9350-14766.68</f>
        <v>14358.32</v>
      </c>
      <c r="M28" s="109">
        <f>+L28/$L$49</f>
        <v>0.11525721742302228</v>
      </c>
      <c r="N28" s="109"/>
      <c r="O28" s="176">
        <v>30000</v>
      </c>
      <c r="P28" s="157"/>
    </row>
    <row r="29" spans="1:16" x14ac:dyDescent="0.3">
      <c r="A29" s="37"/>
      <c r="B29" s="17"/>
      <c r="C29" s="62"/>
      <c r="D29" s="17"/>
      <c r="E29" s="101"/>
      <c r="F29" s="101"/>
      <c r="G29" s="17"/>
      <c r="H29" s="130"/>
      <c r="I29" s="19" t="s">
        <v>31</v>
      </c>
      <c r="J29" s="20"/>
      <c r="K29" s="3"/>
      <c r="L29" s="20">
        <f>70+80</f>
        <v>150</v>
      </c>
      <c r="M29" s="109">
        <f>+L29/$L$49</f>
        <v>1.2040811608498307E-3</v>
      </c>
      <c r="N29" s="109"/>
      <c r="O29" s="181"/>
      <c r="P29" s="157"/>
    </row>
    <row r="30" spans="1:16" x14ac:dyDescent="0.3">
      <c r="A30" s="16" t="s">
        <v>15</v>
      </c>
      <c r="B30" s="17">
        <v>51289.919999999998</v>
      </c>
      <c r="C30" s="62">
        <v>60010.3</v>
      </c>
      <c r="D30" s="17">
        <f>+C30/C$176*D$176</f>
        <v>59948.91644104186</v>
      </c>
      <c r="E30" s="101">
        <f>+D30/$D$49</f>
        <v>0.20148211862801862</v>
      </c>
      <c r="F30" s="101"/>
      <c r="G30" s="167">
        <v>75681</v>
      </c>
      <c r="H30" s="130"/>
      <c r="I30" s="19" t="s">
        <v>144</v>
      </c>
      <c r="J30" s="20">
        <v>3500</v>
      </c>
      <c r="K30" s="3"/>
      <c r="L30" s="20"/>
      <c r="M30" s="20"/>
      <c r="N30" s="109"/>
      <c r="O30" s="181"/>
      <c r="P30" s="157"/>
    </row>
    <row r="31" spans="1:16" x14ac:dyDescent="0.3">
      <c r="A31" s="16" t="s">
        <v>17</v>
      </c>
      <c r="B31" s="17">
        <v>4038.05</v>
      </c>
      <c r="C31" s="62">
        <v>6000</v>
      </c>
      <c r="D31" s="17">
        <v>1171.24</v>
      </c>
      <c r="E31" s="101">
        <f>+D31/$D$49</f>
        <v>3.9364167132856249E-3</v>
      </c>
      <c r="F31" s="101"/>
      <c r="G31" s="17"/>
      <c r="H31" s="130"/>
      <c r="I31" s="19" t="s">
        <v>137</v>
      </c>
      <c r="J31" s="20"/>
      <c r="K31" s="3"/>
      <c r="L31" s="20"/>
      <c r="M31" s="20"/>
      <c r="N31" s="109"/>
      <c r="O31" s="181"/>
      <c r="P31" s="157"/>
    </row>
    <row r="32" spans="1:16" x14ac:dyDescent="0.3">
      <c r="A32" s="21" t="s">
        <v>32</v>
      </c>
      <c r="B32" s="36">
        <f>+B30+B31</f>
        <v>55327.97</v>
      </c>
      <c r="C32" s="81">
        <f>+C30+C31</f>
        <v>66010.3</v>
      </c>
      <c r="D32" s="36">
        <f>+D30+D31</f>
        <v>61120.156441041858</v>
      </c>
      <c r="E32" s="108">
        <f t="shared" si="1"/>
        <v>0.20541853534130425</v>
      </c>
      <c r="F32" s="108"/>
      <c r="G32" s="36">
        <f>+G30+G31</f>
        <v>75681</v>
      </c>
      <c r="H32" s="133">
        <f>+G32/G$49</f>
        <v>0.22881840198097034</v>
      </c>
      <c r="I32" s="19" t="s">
        <v>33</v>
      </c>
      <c r="J32" s="20"/>
      <c r="K32" s="3"/>
      <c r="L32" s="20"/>
      <c r="M32" s="20"/>
      <c r="N32" s="109"/>
      <c r="O32" s="181"/>
      <c r="P32" s="157"/>
    </row>
    <row r="33" spans="1:16" x14ac:dyDescent="0.3">
      <c r="A33" s="16" t="s">
        <v>130</v>
      </c>
      <c r="B33" s="17">
        <v>34055.370000000003</v>
      </c>
      <c r="C33" s="62">
        <v>72000</v>
      </c>
      <c r="D33" s="17">
        <f>51425.03+33</f>
        <v>51458.03</v>
      </c>
      <c r="E33" s="100">
        <f t="shared" si="1"/>
        <v>0.17294512595604067</v>
      </c>
      <c r="F33" s="100"/>
      <c r="G33" s="174">
        <v>52000</v>
      </c>
      <c r="H33" s="129"/>
      <c r="I33" s="19" t="s">
        <v>34</v>
      </c>
      <c r="J33" s="20">
        <v>7000</v>
      </c>
      <c r="K33" s="3">
        <v>10000</v>
      </c>
      <c r="L33" s="20"/>
      <c r="M33" s="20"/>
      <c r="N33" s="109"/>
      <c r="O33" s="181"/>
      <c r="P33" s="157"/>
    </row>
    <row r="34" spans="1:16" x14ac:dyDescent="0.3">
      <c r="A34" s="16" t="s">
        <v>131</v>
      </c>
      <c r="B34" s="17"/>
      <c r="C34" s="62"/>
      <c r="D34" s="17">
        <v>7776.5</v>
      </c>
      <c r="E34" s="100">
        <f t="shared" si="1"/>
        <v>2.6136013601709009E-2</v>
      </c>
      <c r="F34" s="100"/>
      <c r="G34" s="18"/>
      <c r="H34" s="130"/>
      <c r="I34" s="19"/>
      <c r="J34" s="20"/>
      <c r="K34" s="3"/>
      <c r="L34" s="20"/>
      <c r="M34" s="20"/>
      <c r="N34" s="109"/>
      <c r="O34" s="181"/>
      <c r="P34" s="157"/>
    </row>
    <row r="35" spans="1:16" x14ac:dyDescent="0.3">
      <c r="A35" s="16" t="s">
        <v>17</v>
      </c>
      <c r="B35" s="17">
        <v>0</v>
      </c>
      <c r="C35" s="62"/>
      <c r="D35" s="17">
        <f>2562.07+3600</f>
        <v>6162.07</v>
      </c>
      <c r="E35" s="100">
        <f t="shared" si="1"/>
        <v>2.0710081056347075E-2</v>
      </c>
      <c r="F35" s="100"/>
      <c r="G35" s="18"/>
      <c r="H35" s="130"/>
      <c r="I35" s="19" t="s">
        <v>28</v>
      </c>
      <c r="J35" s="20">
        <v>8400</v>
      </c>
      <c r="K35" s="3">
        <v>19500</v>
      </c>
      <c r="L35" s="20">
        <f>14000</f>
        <v>14000</v>
      </c>
      <c r="M35" s="109">
        <f>+L35/$L$49</f>
        <v>0.1123809083459842</v>
      </c>
      <c r="N35" s="109"/>
      <c r="O35" s="176">
        <v>14000</v>
      </c>
      <c r="P35" s="157"/>
    </row>
    <row r="36" spans="1:16" x14ac:dyDescent="0.3">
      <c r="A36" s="21" t="s">
        <v>35</v>
      </c>
      <c r="B36" s="22">
        <f>+SUM(B33:B35)</f>
        <v>34055.370000000003</v>
      </c>
      <c r="C36" s="82">
        <f>+SUM(C33:C35)</f>
        <v>72000</v>
      </c>
      <c r="D36" s="22">
        <f>+SUM(D33:D35)</f>
        <v>65396.6</v>
      </c>
      <c r="E36" s="102">
        <f t="shared" si="1"/>
        <v>0.21979122061409673</v>
      </c>
      <c r="F36" s="102"/>
      <c r="G36" s="22">
        <f>+SUM(G33:G35)</f>
        <v>52000</v>
      </c>
      <c r="H36" s="133">
        <f>+G36/G$49</f>
        <v>0.15721986896328613</v>
      </c>
      <c r="I36" s="19" t="s">
        <v>34</v>
      </c>
      <c r="J36" s="20">
        <v>20000</v>
      </c>
      <c r="K36" s="3">
        <v>30000</v>
      </c>
      <c r="L36" s="20">
        <v>13045</v>
      </c>
      <c r="M36" s="109">
        <f>+L36/$L$49</f>
        <v>0.10471492495524029</v>
      </c>
      <c r="N36" s="109"/>
      <c r="O36" s="176">
        <v>16800</v>
      </c>
      <c r="P36" s="157"/>
    </row>
    <row r="37" spans="1:16" x14ac:dyDescent="0.3">
      <c r="A37" s="16"/>
      <c r="B37" s="17"/>
      <c r="C37" s="62"/>
      <c r="D37" s="17"/>
      <c r="E37" s="101"/>
      <c r="F37" s="101"/>
      <c r="G37" s="17"/>
      <c r="H37" s="130"/>
      <c r="I37" s="19" t="s">
        <v>30</v>
      </c>
      <c r="J37" s="20">
        <v>13870</v>
      </c>
      <c r="K37" s="3">
        <v>31000</v>
      </c>
      <c r="L37" s="20">
        <v>17690</v>
      </c>
      <c r="M37" s="109">
        <f>+L37/$L$49</f>
        <v>0.14200130490289004</v>
      </c>
      <c r="N37" s="109"/>
      <c r="O37" s="176">
        <v>35000</v>
      </c>
      <c r="P37" s="157"/>
    </row>
    <row r="38" spans="1:16" x14ac:dyDescent="0.3">
      <c r="A38" s="16" t="s">
        <v>36</v>
      </c>
      <c r="B38" s="17"/>
      <c r="C38" s="62">
        <v>8000</v>
      </c>
      <c r="D38" s="17"/>
      <c r="E38" s="101">
        <f t="shared" si="1"/>
        <v>0</v>
      </c>
      <c r="F38" s="101"/>
      <c r="G38" s="175">
        <v>8000</v>
      </c>
      <c r="H38" s="129"/>
      <c r="I38" s="19"/>
      <c r="J38" s="20"/>
      <c r="K38" s="3"/>
      <c r="L38" s="20"/>
      <c r="M38" s="20"/>
      <c r="N38" s="109"/>
      <c r="O38" s="70"/>
      <c r="P38" s="157"/>
    </row>
    <row r="39" spans="1:16" x14ac:dyDescent="0.3">
      <c r="A39" s="16" t="s">
        <v>129</v>
      </c>
      <c r="B39" s="17"/>
      <c r="C39" s="62">
        <v>7000</v>
      </c>
      <c r="D39" s="17">
        <f>3603.61</f>
        <v>3603.61</v>
      </c>
      <c r="E39" s="101">
        <f t="shared" si="1"/>
        <v>1.2111361149007214E-2</v>
      </c>
      <c r="F39" s="101"/>
      <c r="G39" s="167">
        <v>4000</v>
      </c>
      <c r="H39" s="129"/>
      <c r="I39" s="19" t="s">
        <v>20</v>
      </c>
      <c r="J39" s="20">
        <v>1300</v>
      </c>
      <c r="K39" s="3">
        <v>1500</v>
      </c>
      <c r="L39" s="20"/>
      <c r="M39" s="20"/>
      <c r="N39" s="109"/>
      <c r="O39" s="70"/>
      <c r="P39" s="157"/>
    </row>
    <row r="40" spans="1:16" x14ac:dyDescent="0.3">
      <c r="A40" s="21" t="s">
        <v>167</v>
      </c>
      <c r="B40" s="22">
        <f>SUM(B37:B39)</f>
        <v>0</v>
      </c>
      <c r="C40" s="82">
        <f>SUM(C37:C39)</f>
        <v>15000</v>
      </c>
      <c r="D40" s="22">
        <f>SUM(D37:D39)</f>
        <v>3603.61</v>
      </c>
      <c r="E40" s="102">
        <f t="shared" si="1"/>
        <v>1.2111361149007214E-2</v>
      </c>
      <c r="F40" s="102"/>
      <c r="G40" s="22">
        <f>SUM(G37:G39)</f>
        <v>12000</v>
      </c>
      <c r="H40" s="133">
        <f>+G40/G$49</f>
        <v>3.6281508222296803E-2</v>
      </c>
      <c r="I40" s="19"/>
      <c r="J40" s="20"/>
      <c r="K40" s="3"/>
      <c r="L40" s="20"/>
      <c r="M40" s="20"/>
      <c r="N40" s="109"/>
      <c r="O40" s="70"/>
      <c r="P40" s="157"/>
    </row>
    <row r="41" spans="1:16" x14ac:dyDescent="0.3">
      <c r="A41" s="37"/>
      <c r="B41" s="17"/>
      <c r="C41" s="62"/>
      <c r="D41" s="17"/>
      <c r="E41" s="101"/>
      <c r="F41" s="101"/>
      <c r="G41" s="17"/>
      <c r="H41" s="130"/>
      <c r="I41" s="19" t="s">
        <v>138</v>
      </c>
      <c r="J41" s="20"/>
      <c r="K41" s="3"/>
      <c r="L41" s="20"/>
      <c r="M41" s="20"/>
      <c r="N41" s="109"/>
      <c r="O41" s="70"/>
      <c r="P41" s="153"/>
    </row>
    <row r="42" spans="1:16" x14ac:dyDescent="0.3">
      <c r="A42" s="16" t="s">
        <v>15</v>
      </c>
      <c r="B42" s="17">
        <v>26184.57</v>
      </c>
      <c r="C42" s="62">
        <v>31322.65</v>
      </c>
      <c r="D42" s="17">
        <f>+C42/C$176*D$176</f>
        <v>31290.610571218607</v>
      </c>
      <c r="E42" s="101">
        <f t="shared" si="1"/>
        <v>0.10516451147626171</v>
      </c>
      <c r="F42" s="101"/>
      <c r="G42" s="167">
        <v>16166</v>
      </c>
      <c r="H42" s="130"/>
      <c r="I42" s="19"/>
      <c r="J42" s="20"/>
      <c r="K42" s="3"/>
      <c r="L42" s="20"/>
      <c r="M42" s="20"/>
      <c r="N42" s="109"/>
      <c r="O42" s="70"/>
      <c r="P42" s="153"/>
    </row>
    <row r="43" spans="1:16" x14ac:dyDescent="0.3">
      <c r="A43" s="16" t="s">
        <v>17</v>
      </c>
      <c r="B43" s="17">
        <v>225.72</v>
      </c>
      <c r="C43" s="62"/>
      <c r="D43" s="17"/>
      <c r="E43" s="101"/>
      <c r="F43" s="101"/>
      <c r="G43" s="17"/>
      <c r="H43" s="130"/>
      <c r="I43" s="19"/>
      <c r="J43" s="20"/>
      <c r="K43" s="3"/>
      <c r="L43" s="20"/>
      <c r="M43" s="20"/>
      <c r="N43" s="109"/>
      <c r="O43" s="70"/>
      <c r="P43" s="153"/>
    </row>
    <row r="44" spans="1:16" x14ac:dyDescent="0.3">
      <c r="A44" s="21" t="s">
        <v>37</v>
      </c>
      <c r="B44" s="22">
        <f>+B42+B43</f>
        <v>26410.29</v>
      </c>
      <c r="C44" s="82">
        <f>+C42+C43</f>
        <v>31322.65</v>
      </c>
      <c r="D44" s="22">
        <f>+D42+D43</f>
        <v>31290.610571218607</v>
      </c>
      <c r="E44" s="102">
        <f t="shared" si="1"/>
        <v>0.10516451147626171</v>
      </c>
      <c r="F44" s="102"/>
      <c r="G44" s="22">
        <f>+G42+G43</f>
        <v>16166</v>
      </c>
      <c r="H44" s="133">
        <f>+G44/G$49</f>
        <v>4.8877238493470837E-2</v>
      </c>
      <c r="I44" s="19" t="s">
        <v>38</v>
      </c>
      <c r="J44" s="20">
        <v>4709.58</v>
      </c>
      <c r="K44" s="3"/>
      <c r="L44" s="20"/>
      <c r="M44" s="20"/>
      <c r="N44" s="109"/>
      <c r="O44" s="70"/>
      <c r="P44" s="153"/>
    </row>
    <row r="45" spans="1:16" x14ac:dyDescent="0.3">
      <c r="A45" s="39"/>
      <c r="B45" s="17"/>
      <c r="C45" s="62"/>
      <c r="D45" s="17"/>
      <c r="E45" s="101"/>
      <c r="F45" s="101"/>
      <c r="G45" s="17"/>
      <c r="H45" s="130"/>
      <c r="I45" s="19"/>
      <c r="J45" s="20"/>
      <c r="K45" s="3"/>
      <c r="L45" s="20"/>
      <c r="M45" s="20"/>
      <c r="N45" s="109"/>
      <c r="O45" s="70"/>
      <c r="P45" s="153"/>
    </row>
    <row r="46" spans="1:16" x14ac:dyDescent="0.3">
      <c r="A46" s="16" t="s">
        <v>39</v>
      </c>
      <c r="B46" s="17">
        <v>1414.13</v>
      </c>
      <c r="C46" s="62">
        <v>4000</v>
      </c>
      <c r="D46" s="17">
        <f>1541.99-235.2</f>
        <v>1306.79</v>
      </c>
      <c r="E46" s="101">
        <f t="shared" si="1"/>
        <v>4.391986268189714E-3</v>
      </c>
      <c r="F46" s="101"/>
      <c r="G46" s="167">
        <v>6000</v>
      </c>
      <c r="H46" s="129"/>
      <c r="I46" s="19" t="s">
        <v>16</v>
      </c>
      <c r="J46" s="20">
        <v>1500</v>
      </c>
      <c r="K46" s="3"/>
      <c r="L46" s="20"/>
      <c r="M46" s="20"/>
      <c r="N46" s="109"/>
      <c r="O46" s="70"/>
      <c r="P46" s="153"/>
    </row>
    <row r="47" spans="1:16" x14ac:dyDescent="0.3">
      <c r="A47" s="21" t="s">
        <v>40</v>
      </c>
      <c r="B47" s="22">
        <f>+B46</f>
        <v>1414.13</v>
      </c>
      <c r="C47" s="82">
        <f>+C46</f>
        <v>4000</v>
      </c>
      <c r="D47" s="22">
        <f>+D46</f>
        <v>1306.79</v>
      </c>
      <c r="E47" s="102">
        <f t="shared" si="1"/>
        <v>4.391986268189714E-3</v>
      </c>
      <c r="F47" s="102"/>
      <c r="G47" s="22">
        <f>+G46</f>
        <v>6000</v>
      </c>
      <c r="H47" s="133">
        <f>+G47/G$49</f>
        <v>1.8140754111148402E-2</v>
      </c>
      <c r="I47" s="19" t="s">
        <v>125</v>
      </c>
      <c r="J47" s="20">
        <v>5000</v>
      </c>
      <c r="K47" s="3">
        <v>5000</v>
      </c>
      <c r="L47" s="20">
        <v>6000</v>
      </c>
      <c r="M47" s="109">
        <f>+L47/$L$49</f>
        <v>4.816324643399323E-2</v>
      </c>
      <c r="N47" s="109"/>
      <c r="O47" s="176">
        <v>6000</v>
      </c>
      <c r="P47" s="153"/>
    </row>
    <row r="48" spans="1:16" ht="16.2" thickBot="1" x14ac:dyDescent="0.35">
      <c r="A48" s="25"/>
      <c r="B48" s="17"/>
      <c r="C48" s="62"/>
      <c r="D48" s="28"/>
      <c r="E48" s="109"/>
      <c r="F48" s="109"/>
      <c r="G48" s="17"/>
      <c r="I48" s="27"/>
      <c r="J48" s="20"/>
      <c r="K48" s="90"/>
      <c r="L48" s="28"/>
      <c r="M48" s="28"/>
      <c r="N48" s="113"/>
      <c r="O48" s="90"/>
      <c r="P48" s="149"/>
    </row>
    <row r="49" spans="1:22" ht="16.2" thickBot="1" x14ac:dyDescent="0.35">
      <c r="A49" s="29" t="s">
        <v>41</v>
      </c>
      <c r="B49" s="30">
        <f>+B28+B32+B36+B44+B47+B40</f>
        <v>221265.62000000002</v>
      </c>
      <c r="C49" s="30">
        <f>+C28+C32+C36+C44+C47+C40</f>
        <v>332880.95</v>
      </c>
      <c r="D49" s="30">
        <f>+D28+D32+D36+D44+D47+D40</f>
        <v>297539.63701226044</v>
      </c>
      <c r="E49" s="105">
        <f>+D49/C49</f>
        <v>0.89383197510179069</v>
      </c>
      <c r="F49" s="105">
        <f>+D49/$D$173</f>
        <v>0.33994892877768812</v>
      </c>
      <c r="G49" s="30">
        <f>+G28+G32+G36+G44+G47+G40</f>
        <v>330747</v>
      </c>
      <c r="H49" s="105">
        <f>+G49/$G$173</f>
        <v>0.38303068905616677</v>
      </c>
      <c r="I49" s="40"/>
      <c r="J49" s="30">
        <f>SUM(J23:J47)</f>
        <v>121112.92</v>
      </c>
      <c r="K49" s="41">
        <f>SUM(K23:K47)</f>
        <v>174815</v>
      </c>
      <c r="L49" s="91">
        <f>SUM(L23:L47)</f>
        <v>124576.32000000001</v>
      </c>
      <c r="M49" s="166">
        <f>+L49/K49</f>
        <v>0.71261802476904157</v>
      </c>
      <c r="N49" s="124">
        <f>+L49/L$173</f>
        <v>0.15982685947006481</v>
      </c>
      <c r="O49" s="91">
        <f>SUM(O23:O47)</f>
        <v>147600</v>
      </c>
      <c r="P49" s="154">
        <f>+O49/$O$173</f>
        <v>0.17093225246091487</v>
      </c>
      <c r="Q49" s="32"/>
    </row>
    <row r="50" spans="1:22" ht="19.5" customHeight="1" thickBot="1" x14ac:dyDescent="0.35">
      <c r="A50" s="33"/>
      <c r="B50" s="34"/>
      <c r="C50" s="34"/>
      <c r="D50" s="34"/>
      <c r="E50" s="106"/>
      <c r="F50" s="106"/>
      <c r="G50" s="34"/>
      <c r="H50" s="106"/>
      <c r="I50" s="35"/>
      <c r="J50" s="34"/>
      <c r="K50" s="34"/>
      <c r="L50" s="34"/>
      <c r="M50" s="34"/>
      <c r="N50" s="106"/>
      <c r="O50" s="34"/>
      <c r="P50" s="161"/>
    </row>
    <row r="51" spans="1:22" ht="16.8" thickTop="1" thickBot="1" x14ac:dyDescent="0.35">
      <c r="A51" s="200" t="s">
        <v>42</v>
      </c>
      <c r="B51" s="197"/>
      <c r="C51" s="197"/>
      <c r="D51" s="197"/>
      <c r="E51" s="197"/>
      <c r="F51" s="197"/>
      <c r="G51" s="198"/>
      <c r="H51" s="198"/>
      <c r="I51" s="198"/>
      <c r="J51" s="198"/>
      <c r="K51" s="198"/>
      <c r="L51" s="198"/>
      <c r="M51" s="198"/>
      <c r="N51" s="198"/>
      <c r="O51" s="198"/>
      <c r="P51" s="199"/>
    </row>
    <row r="52" spans="1:22" x14ac:dyDescent="0.3">
      <c r="A52" s="42"/>
      <c r="B52" s="43"/>
      <c r="C52" s="44"/>
      <c r="D52" s="49"/>
      <c r="E52" s="110"/>
      <c r="F52" s="110"/>
      <c r="G52" s="140"/>
      <c r="H52" s="141"/>
      <c r="I52" s="45"/>
      <c r="J52" s="46"/>
      <c r="K52" s="93"/>
      <c r="L52" s="46"/>
      <c r="M52" s="46"/>
      <c r="N52" s="121"/>
      <c r="O52" s="173"/>
      <c r="P52" s="148"/>
    </row>
    <row r="53" spans="1:22" x14ac:dyDescent="0.3">
      <c r="A53" s="47" t="s">
        <v>43</v>
      </c>
      <c r="B53" s="17">
        <v>0</v>
      </c>
      <c r="C53" s="17">
        <v>4500</v>
      </c>
      <c r="D53" s="17">
        <v>4500</v>
      </c>
      <c r="E53" s="101">
        <f>+D53/$D$66</f>
        <v>7.9518795033135262E-2</v>
      </c>
      <c r="F53" s="101"/>
      <c r="G53" s="167">
        <v>4000</v>
      </c>
      <c r="H53" s="142"/>
      <c r="I53" s="19"/>
      <c r="J53" s="20"/>
      <c r="K53" s="3"/>
      <c r="L53" s="20"/>
      <c r="M53" s="20"/>
      <c r="N53" s="109"/>
      <c r="O53" s="3"/>
      <c r="P53" s="157"/>
    </row>
    <row r="54" spans="1:22" x14ac:dyDescent="0.3">
      <c r="A54" s="16" t="s">
        <v>44</v>
      </c>
      <c r="B54" s="17">
        <v>10161.780000000001</v>
      </c>
      <c r="C54" s="17">
        <v>31731</v>
      </c>
      <c r="D54" s="17">
        <v>24931.66</v>
      </c>
      <c r="E54" s="101">
        <f>+D54/$D$66</f>
        <v>0.44056345808351494</v>
      </c>
      <c r="F54" s="101"/>
      <c r="G54" s="175">
        <v>29000</v>
      </c>
      <c r="H54" s="142"/>
      <c r="I54" s="19" t="s">
        <v>28</v>
      </c>
      <c r="J54" s="20">
        <v>7500</v>
      </c>
      <c r="K54" s="3">
        <v>17000</v>
      </c>
      <c r="L54" s="20">
        <f>3500+6000</f>
        <v>9500</v>
      </c>
      <c r="M54" s="109">
        <f>+L54/$L$66</f>
        <v>0.24979621887407641</v>
      </c>
      <c r="N54" s="109"/>
      <c r="O54" s="176">
        <v>9500</v>
      </c>
      <c r="P54" s="157"/>
    </row>
    <row r="55" spans="1:22" x14ac:dyDescent="0.3">
      <c r="A55" s="16" t="s">
        <v>45</v>
      </c>
      <c r="B55" s="17">
        <v>15458.69</v>
      </c>
      <c r="C55" s="17">
        <v>13526</v>
      </c>
      <c r="D55" s="17">
        <v>12961.81</v>
      </c>
      <c r="E55" s="101">
        <f>+D55/$D$66</f>
        <v>0.22904611392187621</v>
      </c>
      <c r="F55" s="101"/>
      <c r="G55" s="167">
        <v>14000</v>
      </c>
      <c r="H55" s="142"/>
      <c r="I55" s="19" t="s">
        <v>34</v>
      </c>
      <c r="J55" s="20">
        <v>9000</v>
      </c>
      <c r="K55" s="3">
        <v>14000</v>
      </c>
      <c r="L55" s="20">
        <f>4000+8000</f>
        <v>12000</v>
      </c>
      <c r="M55" s="109">
        <f>+L55/$L$66</f>
        <v>0.31553206594620176</v>
      </c>
      <c r="N55" s="109"/>
      <c r="O55" s="176">
        <v>14000</v>
      </c>
      <c r="P55" s="157"/>
    </row>
    <row r="56" spans="1:22" x14ac:dyDescent="0.3">
      <c r="A56" s="16" t="s">
        <v>46</v>
      </c>
      <c r="B56" s="17"/>
      <c r="C56" s="17">
        <v>3000</v>
      </c>
      <c r="D56" s="17"/>
      <c r="E56" s="101"/>
      <c r="F56" s="101"/>
      <c r="G56" s="167"/>
      <c r="H56" s="143"/>
      <c r="I56" s="19" t="s">
        <v>30</v>
      </c>
      <c r="J56" s="20">
        <v>2090</v>
      </c>
      <c r="K56" s="3">
        <v>12150</v>
      </c>
      <c r="L56" s="20">
        <v>10000</v>
      </c>
      <c r="M56" s="109">
        <f>+L56/$L$66</f>
        <v>0.2629433882885015</v>
      </c>
      <c r="N56" s="109"/>
      <c r="O56" s="176">
        <v>14500</v>
      </c>
      <c r="P56" s="153"/>
    </row>
    <row r="57" spans="1:22" x14ac:dyDescent="0.3">
      <c r="A57" s="16" t="s">
        <v>135</v>
      </c>
      <c r="B57" s="17">
        <v>194.35</v>
      </c>
      <c r="C57" s="17"/>
      <c r="D57" s="17">
        <v>6018.43</v>
      </c>
      <c r="E57" s="101">
        <f>+D57/$D$66</f>
        <v>0.10635073368694939</v>
      </c>
      <c r="F57" s="101"/>
      <c r="G57" s="167">
        <v>4000</v>
      </c>
      <c r="H57" s="142"/>
      <c r="I57" s="19" t="s">
        <v>132</v>
      </c>
      <c r="J57" s="20"/>
      <c r="K57" s="3"/>
      <c r="L57" s="20"/>
      <c r="M57" s="109"/>
      <c r="N57" s="109"/>
      <c r="O57" s="176"/>
      <c r="P57" s="157"/>
    </row>
    <row r="58" spans="1:22" x14ac:dyDescent="0.3">
      <c r="A58" s="16"/>
      <c r="B58" s="17"/>
      <c r="C58" s="17"/>
      <c r="D58" s="17"/>
      <c r="E58" s="101"/>
      <c r="F58" s="101"/>
      <c r="G58" s="17"/>
      <c r="H58" s="143"/>
      <c r="I58" s="19" t="s">
        <v>48</v>
      </c>
      <c r="J58" s="20">
        <v>5532</v>
      </c>
      <c r="K58" s="3">
        <v>5670</v>
      </c>
      <c r="L58" s="20">
        <f>1471+5060</f>
        <v>6531</v>
      </c>
      <c r="M58" s="109">
        <f>+L58/$L$66</f>
        <v>0.17172832689122031</v>
      </c>
      <c r="N58" s="109"/>
      <c r="O58" s="176">
        <v>6500</v>
      </c>
      <c r="P58" s="153"/>
    </row>
    <row r="59" spans="1:22" x14ac:dyDescent="0.3">
      <c r="A59" s="16"/>
      <c r="B59" s="17"/>
      <c r="C59" s="17"/>
      <c r="D59" s="17"/>
      <c r="E59" s="101"/>
      <c r="F59" s="101"/>
      <c r="G59" s="17"/>
      <c r="H59" s="143"/>
      <c r="I59" s="19"/>
      <c r="J59" s="20"/>
      <c r="K59" s="3"/>
      <c r="L59" s="20"/>
      <c r="M59" s="20"/>
      <c r="N59" s="109"/>
      <c r="O59" s="3"/>
      <c r="P59" s="153"/>
    </row>
    <row r="60" spans="1:22" x14ac:dyDescent="0.3">
      <c r="A60" s="21" t="s">
        <v>47</v>
      </c>
      <c r="B60" s="36">
        <f>SUM(B53:B59)</f>
        <v>25814.82</v>
      </c>
      <c r="C60" s="36">
        <f>SUM(C53:C59)</f>
        <v>52757</v>
      </c>
      <c r="D60" s="36">
        <f>SUM(D53:D58)</f>
        <v>48411.9</v>
      </c>
      <c r="E60" s="108">
        <f>+D60/$D$66</f>
        <v>0.85547910072547584</v>
      </c>
      <c r="F60" s="108"/>
      <c r="G60" s="36">
        <f>SUM(G53:G59)</f>
        <v>51000</v>
      </c>
      <c r="H60" s="133">
        <f>+G60/G$66</f>
        <v>0.91283336316448904</v>
      </c>
      <c r="I60" s="19"/>
      <c r="J60" s="20"/>
      <c r="K60" s="3"/>
      <c r="L60" s="20"/>
      <c r="M60" s="20"/>
      <c r="N60" s="109"/>
      <c r="O60" s="3"/>
      <c r="P60" s="153"/>
    </row>
    <row r="61" spans="1:22" x14ac:dyDescent="0.3">
      <c r="A61" s="37"/>
      <c r="B61" s="17"/>
      <c r="C61" s="17"/>
      <c r="D61" s="17"/>
      <c r="E61" s="101"/>
      <c r="F61" s="101"/>
      <c r="G61" s="17"/>
      <c r="H61" s="143"/>
      <c r="I61" s="19"/>
      <c r="J61" s="20"/>
      <c r="K61" s="3"/>
      <c r="L61" s="20"/>
      <c r="M61" s="20"/>
      <c r="N61" s="109"/>
      <c r="O61" s="3"/>
      <c r="P61" s="153"/>
    </row>
    <row r="62" spans="1:22" x14ac:dyDescent="0.3">
      <c r="A62" s="16" t="s">
        <v>15</v>
      </c>
      <c r="B62" s="17">
        <v>4897.7299999999996</v>
      </c>
      <c r="C62" s="17">
        <v>6222.86</v>
      </c>
      <c r="D62" s="17">
        <f>+C62/C$176*D$176</f>
        <v>6216.4947378083707</v>
      </c>
      <c r="E62" s="112">
        <f>+D62/$D$84</f>
        <v>0.61079412253716403</v>
      </c>
      <c r="F62" s="101"/>
      <c r="G62" s="167">
        <v>4870</v>
      </c>
      <c r="H62" s="143"/>
      <c r="I62" s="19"/>
      <c r="J62" s="20"/>
      <c r="K62" s="3"/>
      <c r="L62" s="20"/>
      <c r="M62" s="20"/>
      <c r="N62" s="109"/>
      <c r="O62" s="3"/>
      <c r="P62" s="153"/>
    </row>
    <row r="63" spans="1:22" x14ac:dyDescent="0.3">
      <c r="A63" s="16" t="s">
        <v>17</v>
      </c>
      <c r="B63" s="17">
        <v>104.59</v>
      </c>
      <c r="C63" s="17"/>
      <c r="D63" s="17">
        <f>162+1800</f>
        <v>1962</v>
      </c>
      <c r="E63" s="101">
        <f>+D63/$D$66</f>
        <v>3.4670194634446976E-2</v>
      </c>
      <c r="F63" s="101"/>
      <c r="G63" s="17"/>
      <c r="H63" s="143"/>
      <c r="I63" s="19" t="s">
        <v>49</v>
      </c>
      <c r="J63" s="20">
        <v>5849</v>
      </c>
      <c r="K63" s="3"/>
      <c r="L63" s="20"/>
      <c r="M63" s="20"/>
      <c r="N63" s="109"/>
      <c r="O63" s="3"/>
      <c r="P63" s="153"/>
    </row>
    <row r="64" spans="1:22" x14ac:dyDescent="0.3">
      <c r="A64" s="21" t="s">
        <v>50</v>
      </c>
      <c r="B64" s="36">
        <f>+B62+B63</f>
        <v>5002.32</v>
      </c>
      <c r="C64" s="36">
        <f>+C62+C63</f>
        <v>6222.86</v>
      </c>
      <c r="D64" s="36">
        <f>+D62+D63</f>
        <v>8178.4947378083707</v>
      </c>
      <c r="E64" s="108">
        <f>+D64/$D$66</f>
        <v>0.14452089927452424</v>
      </c>
      <c r="F64" s="108"/>
      <c r="G64" s="36">
        <f>+G62+G63</f>
        <v>4870</v>
      </c>
      <c r="H64" s="133">
        <f>+G64/G$66</f>
        <v>8.7166636835511013E-2</v>
      </c>
      <c r="I64" s="19"/>
      <c r="J64" s="20"/>
      <c r="K64" s="3"/>
      <c r="L64" s="20"/>
      <c r="M64" s="20"/>
      <c r="N64" s="109"/>
      <c r="O64" s="3"/>
      <c r="P64" s="153"/>
      <c r="Q64"/>
      <c r="R64"/>
      <c r="S64"/>
      <c r="T64"/>
      <c r="U64"/>
      <c r="V64"/>
    </row>
    <row r="65" spans="1:22" ht="21.75" customHeight="1" thickBot="1" x14ac:dyDescent="0.35">
      <c r="A65" s="25"/>
      <c r="B65" s="26"/>
      <c r="C65" s="26"/>
      <c r="D65" s="26"/>
      <c r="E65" s="104"/>
      <c r="F65" s="104"/>
      <c r="G65" s="26"/>
      <c r="H65" s="132"/>
      <c r="I65" s="27"/>
      <c r="J65" s="28"/>
      <c r="K65" s="90"/>
      <c r="L65" s="28"/>
      <c r="M65" s="20"/>
      <c r="N65" s="109"/>
      <c r="O65" s="90"/>
      <c r="P65" s="149"/>
      <c r="Q65"/>
      <c r="R65"/>
      <c r="S65"/>
      <c r="T65"/>
      <c r="U65"/>
      <c r="V65"/>
    </row>
    <row r="66" spans="1:22" ht="16.2" thickBot="1" x14ac:dyDescent="0.35">
      <c r="A66" s="29" t="s">
        <v>51</v>
      </c>
      <c r="B66" s="30">
        <f>+B60+B64</f>
        <v>30817.14</v>
      </c>
      <c r="C66" s="30">
        <f>+C60+C64</f>
        <v>58979.86</v>
      </c>
      <c r="D66" s="30">
        <f>+D60+D64</f>
        <v>56590.394737808369</v>
      </c>
      <c r="E66" s="105">
        <f>+D66/C66</f>
        <v>0.95948675934138139</v>
      </c>
      <c r="F66" s="105">
        <f>+D66/$D$173</f>
        <v>6.4656407675296582E-2</v>
      </c>
      <c r="G66" s="30">
        <f>+G60+G64</f>
        <v>55870</v>
      </c>
      <c r="H66" s="105">
        <f>+G66/$G$173</f>
        <v>6.4701795020266364E-2</v>
      </c>
      <c r="I66" s="40"/>
      <c r="J66" s="30">
        <f>SUM(J53:J64)</f>
        <v>29971</v>
      </c>
      <c r="K66" s="91">
        <f>SUM(K53:K64)</f>
        <v>48820</v>
      </c>
      <c r="L66" s="30">
        <f>SUM(L53:L64)</f>
        <v>38031</v>
      </c>
      <c r="M66" s="105">
        <f>+L66/K66</f>
        <v>0.77900450634985663</v>
      </c>
      <c r="N66" s="124">
        <f>+L66/L$173</f>
        <v>4.8792381188543968E-2</v>
      </c>
      <c r="O66" s="41">
        <f>SUM(O53:O64)</f>
        <v>44500</v>
      </c>
      <c r="P66" s="154">
        <f>+O66/$O$173</f>
        <v>5.1534452808338162E-2</v>
      </c>
      <c r="R66"/>
      <c r="S66"/>
      <c r="T66"/>
      <c r="U66"/>
      <c r="V66"/>
    </row>
    <row r="67" spans="1:22" ht="16.2" thickBot="1" x14ac:dyDescent="0.35">
      <c r="A67" s="33"/>
      <c r="B67" s="34"/>
      <c r="C67" s="34"/>
      <c r="D67" s="34"/>
      <c r="E67" s="106"/>
      <c r="F67" s="106"/>
      <c r="G67" s="34"/>
      <c r="H67" s="106"/>
      <c r="I67" s="35"/>
      <c r="J67" s="34"/>
      <c r="K67" s="34"/>
      <c r="L67" s="34"/>
      <c r="M67" s="34"/>
      <c r="N67" s="106"/>
      <c r="O67" s="34"/>
      <c r="P67" s="161"/>
      <c r="Q67"/>
      <c r="R67"/>
      <c r="S67"/>
      <c r="T67"/>
      <c r="U67"/>
      <c r="V67"/>
    </row>
    <row r="68" spans="1:22" ht="16.8" thickTop="1" thickBot="1" x14ac:dyDescent="0.35">
      <c r="A68" s="196" t="s">
        <v>52</v>
      </c>
      <c r="B68" s="197"/>
      <c r="C68" s="197"/>
      <c r="D68" s="197"/>
      <c r="E68" s="197"/>
      <c r="F68" s="197"/>
      <c r="G68" s="198"/>
      <c r="H68" s="198"/>
      <c r="I68" s="198"/>
      <c r="J68" s="198"/>
      <c r="K68" s="198"/>
      <c r="L68" s="198"/>
      <c r="M68" s="198"/>
      <c r="N68" s="198"/>
      <c r="O68" s="198"/>
      <c r="P68" s="199"/>
      <c r="Q68"/>
      <c r="R68"/>
      <c r="S68"/>
      <c r="T68"/>
      <c r="U68"/>
      <c r="V68"/>
    </row>
    <row r="69" spans="1:22" x14ac:dyDescent="0.3">
      <c r="A69" s="48"/>
      <c r="B69" s="49"/>
      <c r="C69" s="44"/>
      <c r="D69" s="44"/>
      <c r="E69" s="111"/>
      <c r="F69" s="111"/>
      <c r="G69" s="44"/>
      <c r="H69" s="128"/>
      <c r="I69" s="15"/>
      <c r="J69" s="14"/>
      <c r="K69" s="89"/>
      <c r="L69" s="14"/>
      <c r="M69" s="14"/>
      <c r="N69" s="99"/>
      <c r="O69" s="89"/>
      <c r="P69" s="148"/>
      <c r="Q69"/>
      <c r="R69"/>
      <c r="S69"/>
      <c r="T69"/>
      <c r="U69"/>
      <c r="V69"/>
    </row>
    <row r="70" spans="1:22" x14ac:dyDescent="0.3">
      <c r="A70" s="16" t="s">
        <v>53</v>
      </c>
      <c r="B70" s="95">
        <v>1669.41</v>
      </c>
      <c r="C70" s="50">
        <v>6860</v>
      </c>
      <c r="D70" s="50">
        <f>6409.36+57.2</f>
        <v>6466.5599999999995</v>
      </c>
      <c r="E70" s="112">
        <f>+D70/$D$84</f>
        <v>0.63536398044573994</v>
      </c>
      <c r="F70" s="112"/>
      <c r="G70" s="168">
        <v>4000</v>
      </c>
      <c r="H70" s="142"/>
      <c r="I70" s="19" t="s">
        <v>150</v>
      </c>
      <c r="J70" s="20">
        <v>1773.75</v>
      </c>
      <c r="K70" s="3">
        <v>3000</v>
      </c>
      <c r="L70" s="20">
        <v>6998.75</v>
      </c>
      <c r="M70" s="109">
        <f>+L70/$L$84</f>
        <v>0.60223728084328276</v>
      </c>
      <c r="N70" s="109"/>
      <c r="O70" s="176">
        <v>4000</v>
      </c>
      <c r="P70" s="157"/>
      <c r="Q70"/>
      <c r="R70"/>
      <c r="S70"/>
      <c r="T70"/>
      <c r="U70"/>
      <c r="V70"/>
    </row>
    <row r="71" spans="1:22" x14ac:dyDescent="0.3">
      <c r="A71" s="16" t="s">
        <v>45</v>
      </c>
      <c r="B71" s="17"/>
      <c r="C71" s="50">
        <v>4000</v>
      </c>
      <c r="D71" s="50">
        <v>0</v>
      </c>
      <c r="E71" s="112"/>
      <c r="F71" s="112"/>
      <c r="G71" s="168">
        <v>2700</v>
      </c>
      <c r="H71" s="142"/>
      <c r="I71" s="19"/>
      <c r="J71" s="20"/>
      <c r="K71" s="3"/>
      <c r="L71" s="20"/>
      <c r="M71" s="20"/>
      <c r="N71" s="109"/>
      <c r="O71" s="176"/>
      <c r="P71" s="157"/>
      <c r="Q71"/>
      <c r="R71"/>
      <c r="S71"/>
      <c r="T71"/>
      <c r="U71"/>
      <c r="V71"/>
    </row>
    <row r="72" spans="1:22" x14ac:dyDescent="0.3">
      <c r="A72" s="21" t="s">
        <v>54</v>
      </c>
      <c r="B72" s="36">
        <f>+B70+B71</f>
        <v>1669.41</v>
      </c>
      <c r="C72" s="36">
        <f>+C70+C71</f>
        <v>10860</v>
      </c>
      <c r="D72" s="36">
        <f>+D70+D71</f>
        <v>6466.5599999999995</v>
      </c>
      <c r="E72" s="108">
        <f>+D72/$D$84</f>
        <v>0.63536398044573994</v>
      </c>
      <c r="F72" s="108"/>
      <c r="G72" s="36">
        <f>+G70+G71</f>
        <v>6700</v>
      </c>
      <c r="H72" s="144">
        <f>+G72/G$84</f>
        <v>0.59645686815632515</v>
      </c>
      <c r="I72" s="19"/>
      <c r="J72" s="20"/>
      <c r="K72" s="3"/>
      <c r="L72" s="20"/>
      <c r="M72" s="20"/>
      <c r="N72" s="109"/>
      <c r="O72" s="176"/>
      <c r="P72" s="157"/>
      <c r="Q72"/>
      <c r="R72"/>
      <c r="S72"/>
      <c r="T72"/>
      <c r="U72"/>
      <c r="V72"/>
    </row>
    <row r="73" spans="1:22" x14ac:dyDescent="0.3">
      <c r="A73" s="37"/>
      <c r="B73" s="17"/>
      <c r="C73" s="50"/>
      <c r="D73" s="50"/>
      <c r="E73" s="112"/>
      <c r="F73" s="112"/>
      <c r="G73" s="50"/>
      <c r="H73" s="143"/>
      <c r="I73" s="19"/>
      <c r="J73" s="20"/>
      <c r="K73" s="3"/>
      <c r="L73" s="20"/>
      <c r="M73" s="20"/>
      <c r="N73" s="109"/>
      <c r="O73" s="176"/>
      <c r="P73" s="157"/>
      <c r="Q73"/>
      <c r="R73"/>
      <c r="S73"/>
      <c r="T73"/>
      <c r="U73"/>
      <c r="V73"/>
    </row>
    <row r="74" spans="1:22" x14ac:dyDescent="0.3">
      <c r="A74" s="16" t="s">
        <v>162</v>
      </c>
      <c r="B74" s="17">
        <v>660.63</v>
      </c>
      <c r="C74" s="50">
        <v>2600</v>
      </c>
      <c r="D74" s="50">
        <f>2769.5</f>
        <v>2769.5</v>
      </c>
      <c r="E74" s="112">
        <f>+D74/$D$84</f>
        <v>0.27211385092606838</v>
      </c>
      <c r="F74" s="112"/>
      <c r="G74" s="168">
        <v>2600</v>
      </c>
      <c r="H74" s="142"/>
      <c r="I74" s="19" t="s">
        <v>28</v>
      </c>
      <c r="J74" s="20"/>
      <c r="K74" s="3"/>
      <c r="L74" s="20"/>
      <c r="M74" s="20"/>
      <c r="N74" s="109"/>
      <c r="O74" s="176"/>
      <c r="P74" s="157"/>
      <c r="Q74"/>
      <c r="R74"/>
      <c r="S74"/>
      <c r="T74"/>
      <c r="U74"/>
      <c r="V74"/>
    </row>
    <row r="75" spans="1:22" x14ac:dyDescent="0.3">
      <c r="A75" s="16" t="s">
        <v>55</v>
      </c>
      <c r="B75" s="17"/>
      <c r="C75" s="50"/>
      <c r="D75" s="50"/>
      <c r="E75" s="112"/>
      <c r="F75" s="112"/>
      <c r="G75" s="168">
        <v>400</v>
      </c>
      <c r="H75" s="142"/>
      <c r="I75" s="19" t="s">
        <v>153</v>
      </c>
      <c r="J75" s="20">
        <v>3000</v>
      </c>
      <c r="K75" s="3">
        <v>5000</v>
      </c>
      <c r="L75" s="20">
        <v>3000</v>
      </c>
      <c r="M75" s="109">
        <f>+L75/$L$84</f>
        <v>0.25814778960955148</v>
      </c>
      <c r="N75" s="109"/>
      <c r="O75" s="176">
        <v>3000</v>
      </c>
      <c r="P75" s="157"/>
      <c r="Q75"/>
      <c r="R75"/>
      <c r="S75"/>
      <c r="T75"/>
      <c r="U75"/>
      <c r="V75"/>
    </row>
    <row r="76" spans="1:22" x14ac:dyDescent="0.3">
      <c r="A76" s="16" t="s">
        <v>161</v>
      </c>
      <c r="B76" s="17"/>
      <c r="C76" s="50"/>
      <c r="D76" s="50"/>
      <c r="E76" s="112"/>
      <c r="F76" s="112"/>
      <c r="G76" s="168">
        <v>300</v>
      </c>
      <c r="H76" s="142"/>
      <c r="I76" s="19" t="s">
        <v>152</v>
      </c>
      <c r="J76" s="20">
        <v>1567.5</v>
      </c>
      <c r="K76" s="3">
        <v>2000</v>
      </c>
      <c r="L76" s="20">
        <v>842.5</v>
      </c>
      <c r="M76" s="109">
        <f>+L76/$L$84</f>
        <v>7.249650424868237E-2</v>
      </c>
      <c r="N76" s="109"/>
      <c r="O76" s="176">
        <v>1000</v>
      </c>
      <c r="P76" s="157"/>
      <c r="Q76"/>
      <c r="R76"/>
      <c r="S76"/>
      <c r="T76"/>
      <c r="U76"/>
      <c r="V76"/>
    </row>
    <row r="77" spans="1:22" x14ac:dyDescent="0.3">
      <c r="A77" s="51"/>
      <c r="B77" s="17"/>
      <c r="C77" s="50"/>
      <c r="D77" s="50"/>
      <c r="E77" s="112"/>
      <c r="F77" s="112"/>
      <c r="G77" s="50"/>
      <c r="H77" s="143"/>
      <c r="I77" s="19" t="s">
        <v>151</v>
      </c>
      <c r="J77" s="20"/>
      <c r="K77" s="3"/>
      <c r="L77" s="20"/>
      <c r="M77" s="20"/>
      <c r="N77" s="109"/>
      <c r="O77" s="176">
        <v>800</v>
      </c>
      <c r="P77" s="157"/>
      <c r="Q77"/>
      <c r="R77"/>
      <c r="S77"/>
      <c r="T77"/>
      <c r="U77"/>
      <c r="V77"/>
    </row>
    <row r="78" spans="1:22" x14ac:dyDescent="0.3">
      <c r="A78" s="21" t="s">
        <v>56</v>
      </c>
      <c r="B78" s="36">
        <f>SUM(B74:B77)</f>
        <v>660.63</v>
      </c>
      <c r="C78" s="36">
        <f>SUM(C74:C77)</f>
        <v>2600</v>
      </c>
      <c r="D78" s="36">
        <f>SUM(D74:D77)</f>
        <v>2769.5</v>
      </c>
      <c r="E78" s="108">
        <f>+D78/$D$84</f>
        <v>0.27211385092606838</v>
      </c>
      <c r="F78" s="108"/>
      <c r="G78" s="36">
        <f>SUM(G74:G77)</f>
        <v>3300</v>
      </c>
      <c r="H78" s="144">
        <f>+G78/G$84</f>
        <v>0.29377726342027954</v>
      </c>
      <c r="I78" s="19" t="s">
        <v>160</v>
      </c>
      <c r="J78" s="20"/>
      <c r="K78" s="3"/>
      <c r="L78" s="20">
        <v>780</v>
      </c>
      <c r="M78" s="20"/>
      <c r="N78" s="109"/>
      <c r="O78" s="176">
        <v>400</v>
      </c>
      <c r="P78" s="157"/>
      <c r="Q78"/>
      <c r="R78"/>
      <c r="S78"/>
      <c r="T78"/>
      <c r="U78"/>
      <c r="V78"/>
    </row>
    <row r="79" spans="1:22" x14ac:dyDescent="0.3">
      <c r="A79" s="37"/>
      <c r="B79" s="17"/>
      <c r="C79" s="50"/>
      <c r="D79" s="50"/>
      <c r="E79" s="112"/>
      <c r="F79" s="112"/>
      <c r="G79" s="50"/>
      <c r="H79" s="143"/>
      <c r="I79" s="19"/>
      <c r="J79" s="20"/>
      <c r="K79" s="3"/>
      <c r="L79" s="20"/>
      <c r="M79" s="20"/>
      <c r="N79" s="109"/>
      <c r="O79" s="3"/>
      <c r="P79" s="157"/>
      <c r="Q79"/>
      <c r="R79"/>
      <c r="S79"/>
      <c r="T79"/>
      <c r="U79"/>
      <c r="V79"/>
    </row>
    <row r="80" spans="1:22" x14ac:dyDescent="0.3">
      <c r="A80" s="16" t="s">
        <v>15</v>
      </c>
      <c r="B80" s="17">
        <v>642.62</v>
      </c>
      <c r="C80" s="50">
        <v>806.34</v>
      </c>
      <c r="D80" s="17">
        <f>+C80/C$176*D$176</f>
        <v>805.51520794046519</v>
      </c>
      <c r="E80" s="112">
        <f>+D80/$D$84</f>
        <v>7.9144916126446196E-2</v>
      </c>
      <c r="F80" s="112"/>
      <c r="G80" s="167">
        <v>1233</v>
      </c>
      <c r="H80" s="143"/>
      <c r="I80" s="19"/>
      <c r="J80" s="20"/>
      <c r="K80" s="3"/>
      <c r="L80" s="20"/>
      <c r="M80" s="20"/>
      <c r="N80" s="109"/>
      <c r="O80" s="3"/>
      <c r="P80" s="157"/>
      <c r="Q80"/>
      <c r="R80"/>
      <c r="S80"/>
      <c r="T80"/>
      <c r="U80"/>
      <c r="V80"/>
    </row>
    <row r="81" spans="1:22" ht="16.2" thickBot="1" x14ac:dyDescent="0.35">
      <c r="A81" s="16" t="s">
        <v>17</v>
      </c>
      <c r="B81" s="26">
        <v>75.400000000000006</v>
      </c>
      <c r="C81" s="50">
        <v>500</v>
      </c>
      <c r="D81" s="50">
        <f>19.67+116.48</f>
        <v>136.15</v>
      </c>
      <c r="E81" s="112">
        <f>+D81/$D$84</f>
        <v>1.3377252501745519E-2</v>
      </c>
      <c r="F81" s="112"/>
      <c r="G81" s="50"/>
      <c r="H81" s="143"/>
      <c r="I81" s="19"/>
      <c r="J81" s="20"/>
      <c r="K81" s="3"/>
      <c r="L81" s="20"/>
      <c r="M81" s="20"/>
      <c r="N81" s="109"/>
      <c r="O81" s="3"/>
      <c r="P81" s="157"/>
      <c r="Q81"/>
      <c r="R81"/>
      <c r="S81"/>
      <c r="T81"/>
      <c r="U81"/>
      <c r="V81"/>
    </row>
    <row r="82" spans="1:22" x14ac:dyDescent="0.3">
      <c r="A82" s="21" t="s">
        <v>57</v>
      </c>
      <c r="B82" s="80">
        <f>+B80+B81</f>
        <v>718.02</v>
      </c>
      <c r="C82" s="36">
        <f>+C80+C81</f>
        <v>1306.3400000000001</v>
      </c>
      <c r="D82" s="36">
        <f>+D80+D81</f>
        <v>941.66520794046517</v>
      </c>
      <c r="E82" s="108">
        <f>+D82/$D$84</f>
        <v>9.2522168628191709E-2</v>
      </c>
      <c r="F82" s="108"/>
      <c r="G82" s="36">
        <f>+G80+G81</f>
        <v>1233</v>
      </c>
      <c r="H82" s="144">
        <f>+G82/G$84</f>
        <v>0.10976586842339535</v>
      </c>
      <c r="I82" s="19"/>
      <c r="J82" s="20"/>
      <c r="K82" s="3"/>
      <c r="L82" s="20"/>
      <c r="M82" s="20"/>
      <c r="N82" s="109"/>
      <c r="O82" s="3"/>
      <c r="P82" s="157"/>
      <c r="Q82"/>
      <c r="R82"/>
      <c r="S82"/>
      <c r="T82"/>
      <c r="U82"/>
      <c r="V82"/>
    </row>
    <row r="83" spans="1:22" ht="21.75" customHeight="1" thickBot="1" x14ac:dyDescent="0.35">
      <c r="A83" s="25"/>
      <c r="B83" s="26"/>
      <c r="C83" s="26"/>
      <c r="D83" s="26"/>
      <c r="E83" s="104"/>
      <c r="F83" s="104"/>
      <c r="G83" s="26"/>
      <c r="H83" s="132"/>
      <c r="I83" s="27"/>
      <c r="J83" s="28"/>
      <c r="K83" s="90"/>
      <c r="L83" s="20"/>
      <c r="M83" s="20"/>
      <c r="N83" s="109"/>
      <c r="O83" s="90"/>
      <c r="P83" s="149"/>
      <c r="Q83"/>
      <c r="R83"/>
      <c r="S83"/>
      <c r="T83"/>
      <c r="U83"/>
      <c r="V83"/>
    </row>
    <row r="84" spans="1:22" ht="16.2" thickBot="1" x14ac:dyDescent="0.35">
      <c r="A84" s="29" t="s">
        <v>58</v>
      </c>
      <c r="B84" s="30">
        <f>+B72+B78+B82</f>
        <v>3048.06</v>
      </c>
      <c r="C84" s="30">
        <f>+C72+C78+C82</f>
        <v>14766.34</v>
      </c>
      <c r="D84" s="30">
        <f>+D72+D78+D82</f>
        <v>10177.725207940464</v>
      </c>
      <c r="E84" s="105">
        <f>+D84/C84</f>
        <v>0.68925171761861537</v>
      </c>
      <c r="F84" s="105">
        <f>+D84/$D$173</f>
        <v>1.1628389469637165E-2</v>
      </c>
      <c r="G84" s="30">
        <f>+G72+G78+G82</f>
        <v>11233</v>
      </c>
      <c r="H84" s="105">
        <f>+G84/$G$173</f>
        <v>1.300868558193399E-2</v>
      </c>
      <c r="I84" s="40"/>
      <c r="J84" s="30">
        <f>SUM(J70:J82)</f>
        <v>6341.25</v>
      </c>
      <c r="K84" s="91">
        <f>SUM(K70:K82)</f>
        <v>10000</v>
      </c>
      <c r="L84" s="30">
        <f>SUM(L70:L82)</f>
        <v>11621.25</v>
      </c>
      <c r="M84" s="105">
        <f>+L84/K84</f>
        <v>1.1621250000000001</v>
      </c>
      <c r="N84" s="124">
        <f>+L84/L$173</f>
        <v>1.4909638449879484E-2</v>
      </c>
      <c r="O84" s="41">
        <f>SUM(O70:O82)</f>
        <v>9200</v>
      </c>
      <c r="P84" s="154">
        <f>+O84/$O$173</f>
        <v>1.0654313839027214E-2</v>
      </c>
      <c r="Q84" s="32"/>
      <c r="R84"/>
      <c r="S84"/>
      <c r="T84"/>
      <c r="U84"/>
      <c r="V84"/>
    </row>
    <row r="85" spans="1:22" ht="16.2" thickBot="1" x14ac:dyDescent="0.35">
      <c r="A85" s="33"/>
      <c r="B85" s="34"/>
      <c r="C85" s="34"/>
      <c r="D85" s="34"/>
      <c r="E85" s="106"/>
      <c r="F85" s="106"/>
      <c r="G85" s="34"/>
      <c r="H85" s="106"/>
      <c r="I85" s="35"/>
      <c r="J85" s="34"/>
      <c r="K85" s="34"/>
      <c r="L85" s="34"/>
      <c r="M85" s="34"/>
      <c r="N85" s="106"/>
      <c r="O85" s="34"/>
      <c r="P85" s="161"/>
      <c r="Q85"/>
      <c r="R85"/>
      <c r="S85"/>
      <c r="T85"/>
      <c r="U85"/>
      <c r="V85"/>
    </row>
    <row r="86" spans="1:22" ht="16.8" thickTop="1" thickBot="1" x14ac:dyDescent="0.35">
      <c r="A86" s="196" t="s">
        <v>59</v>
      </c>
      <c r="B86" s="197"/>
      <c r="C86" s="197"/>
      <c r="D86" s="197"/>
      <c r="E86" s="197"/>
      <c r="F86" s="197"/>
      <c r="G86" s="198"/>
      <c r="H86" s="198"/>
      <c r="I86" s="198"/>
      <c r="J86" s="198"/>
      <c r="K86" s="198"/>
      <c r="L86" s="198"/>
      <c r="M86" s="198"/>
      <c r="N86" s="198"/>
      <c r="O86" s="198"/>
      <c r="P86" s="199"/>
      <c r="Q86"/>
      <c r="R86"/>
      <c r="S86"/>
      <c r="T86"/>
      <c r="U86"/>
      <c r="V86"/>
    </row>
    <row r="87" spans="1:22" x14ac:dyDescent="0.3">
      <c r="A87" s="88" t="s">
        <v>60</v>
      </c>
      <c r="B87" s="49">
        <v>819.17</v>
      </c>
      <c r="C87" s="44">
        <v>6100</v>
      </c>
      <c r="D87" s="49">
        <v>1644.04</v>
      </c>
      <c r="E87" s="112">
        <f>+D87/$D$98</f>
        <v>6.4598088357028252E-2</v>
      </c>
      <c r="F87" s="111"/>
      <c r="G87" s="169">
        <v>0</v>
      </c>
      <c r="H87" s="134"/>
      <c r="I87" s="15" t="s">
        <v>133</v>
      </c>
      <c r="J87" s="14"/>
      <c r="K87" s="89">
        <v>7730</v>
      </c>
      <c r="L87" s="14"/>
      <c r="M87" s="14"/>
      <c r="N87" s="99"/>
      <c r="O87" s="182">
        <v>3000</v>
      </c>
      <c r="P87" s="158"/>
      <c r="Q87"/>
      <c r="R87"/>
      <c r="S87"/>
      <c r="T87"/>
      <c r="U87"/>
      <c r="V87"/>
    </row>
    <row r="88" spans="1:22" ht="15" customHeight="1" x14ac:dyDescent="0.3">
      <c r="A88" s="16" t="s">
        <v>61</v>
      </c>
      <c r="B88" s="17">
        <v>600</v>
      </c>
      <c r="C88" s="50">
        <v>5500</v>
      </c>
      <c r="D88" s="17">
        <v>2620.85</v>
      </c>
      <c r="E88" s="112">
        <f>+D88/$D$98</f>
        <v>0.10297918534252057</v>
      </c>
      <c r="F88" s="112"/>
      <c r="G88" s="170">
        <v>4500</v>
      </c>
      <c r="H88" s="142"/>
      <c r="I88" s="19" t="s">
        <v>34</v>
      </c>
      <c r="J88" s="20">
        <v>3000</v>
      </c>
      <c r="K88" s="3">
        <v>6000</v>
      </c>
      <c r="L88" s="20">
        <f>5000+4000</f>
        <v>9000</v>
      </c>
      <c r="M88" s="109">
        <f>+L88/$L$98</f>
        <v>0.54451072686131918</v>
      </c>
      <c r="N88" s="109"/>
      <c r="O88" s="176">
        <v>9000</v>
      </c>
      <c r="P88" s="157"/>
      <c r="Q88"/>
      <c r="R88"/>
      <c r="S88"/>
      <c r="T88"/>
      <c r="U88"/>
      <c r="V88"/>
    </row>
    <row r="89" spans="1:22" x14ac:dyDescent="0.3">
      <c r="A89" s="16" t="s">
        <v>62</v>
      </c>
      <c r="B89" s="17">
        <v>0</v>
      </c>
      <c r="C89" s="62">
        <v>10800</v>
      </c>
      <c r="D89" s="17"/>
      <c r="E89" s="100"/>
      <c r="F89" s="100"/>
      <c r="G89" s="177">
        <v>10200</v>
      </c>
      <c r="H89" s="142"/>
      <c r="I89" s="19" t="s">
        <v>28</v>
      </c>
      <c r="J89" s="20">
        <v>4500</v>
      </c>
      <c r="K89" s="3">
        <v>8000</v>
      </c>
      <c r="L89" s="20">
        <f>2000+1500</f>
        <v>3500</v>
      </c>
      <c r="M89" s="109">
        <f>+L89/$L$98</f>
        <v>0.21175417155717968</v>
      </c>
      <c r="N89" s="109"/>
      <c r="O89" s="176">
        <v>3000</v>
      </c>
      <c r="P89" s="157"/>
      <c r="Q89"/>
      <c r="R89"/>
      <c r="S89"/>
      <c r="T89"/>
      <c r="U89"/>
      <c r="V89"/>
    </row>
    <row r="90" spans="1:22" x14ac:dyDescent="0.3">
      <c r="A90" s="16" t="s">
        <v>149</v>
      </c>
      <c r="B90" s="17"/>
      <c r="C90" s="62">
        <v>2000</v>
      </c>
      <c r="D90" s="17">
        <v>800</v>
      </c>
      <c r="E90" s="100">
        <f>+D90/$D$98</f>
        <v>3.1433828061131486E-2</v>
      </c>
      <c r="F90" s="100"/>
      <c r="G90" s="171">
        <v>3800</v>
      </c>
      <c r="H90" s="142"/>
      <c r="I90" s="19" t="s">
        <v>63</v>
      </c>
      <c r="J90" s="20">
        <v>1167.77</v>
      </c>
      <c r="K90" s="3">
        <v>10000</v>
      </c>
      <c r="L90" s="20">
        <f>4028.6</f>
        <v>4028.6</v>
      </c>
      <c r="M90" s="109">
        <f>+L90/$L$98</f>
        <v>0.24373510158150116</v>
      </c>
      <c r="N90" s="109"/>
      <c r="O90" s="176">
        <f>5000+10000</f>
        <v>15000</v>
      </c>
      <c r="P90" s="157"/>
      <c r="Q90"/>
      <c r="R90"/>
      <c r="S90"/>
      <c r="T90"/>
      <c r="U90"/>
      <c r="V90"/>
    </row>
    <row r="91" spans="1:22" x14ac:dyDescent="0.3">
      <c r="A91" s="16" t="s">
        <v>148</v>
      </c>
      <c r="B91" s="17"/>
      <c r="C91" s="62">
        <v>2000</v>
      </c>
      <c r="D91" s="17">
        <v>490.24</v>
      </c>
      <c r="E91" s="100">
        <f>+D91/$D$98</f>
        <v>1.9262649835861373E-2</v>
      </c>
      <c r="F91" s="100"/>
      <c r="G91" s="177">
        <v>1500</v>
      </c>
      <c r="H91" s="142"/>
      <c r="I91" s="19" t="s">
        <v>171</v>
      </c>
      <c r="J91" s="20"/>
      <c r="K91" s="3"/>
      <c r="L91" s="20"/>
      <c r="M91" s="20"/>
      <c r="N91" s="109"/>
      <c r="O91" s="176">
        <f>666.66*11+0.74</f>
        <v>7333.9999999999991</v>
      </c>
      <c r="P91" s="157"/>
      <c r="Q91"/>
      <c r="R91"/>
      <c r="S91"/>
      <c r="T91"/>
      <c r="U91"/>
      <c r="V91"/>
    </row>
    <row r="92" spans="1:22" x14ac:dyDescent="0.3">
      <c r="A92" s="21" t="s">
        <v>64</v>
      </c>
      <c r="B92" s="36">
        <f>SUM(B87:B91)</f>
        <v>1419.17</v>
      </c>
      <c r="C92" s="36">
        <f>SUM(C87:C91)</f>
        <v>26400</v>
      </c>
      <c r="D92" s="36">
        <f>SUM(D87:D91)</f>
        <v>5555.1299999999992</v>
      </c>
      <c r="E92" s="108">
        <f>+D92/$D$98</f>
        <v>0.21827375159654167</v>
      </c>
      <c r="F92" s="108"/>
      <c r="G92" s="81">
        <f>SUM(G87:G91)</f>
        <v>20000</v>
      </c>
      <c r="H92" s="144">
        <f>+G92/G$98</f>
        <v>0.35051437985243344</v>
      </c>
      <c r="I92" s="19"/>
      <c r="J92" s="20"/>
      <c r="K92" s="3"/>
      <c r="L92" s="20"/>
      <c r="M92" s="20"/>
      <c r="N92" s="109"/>
      <c r="O92" s="70"/>
      <c r="P92" s="157"/>
      <c r="Q92"/>
      <c r="R92"/>
      <c r="S92"/>
      <c r="T92"/>
      <c r="U92"/>
      <c r="V92"/>
    </row>
    <row r="93" spans="1:22" x14ac:dyDescent="0.3">
      <c r="A93" s="37"/>
      <c r="B93" s="17"/>
      <c r="C93" s="83"/>
      <c r="D93" s="17"/>
      <c r="E93" s="112"/>
      <c r="F93" s="112"/>
      <c r="G93" s="83"/>
      <c r="H93" s="143"/>
      <c r="I93" s="19" t="s">
        <v>38</v>
      </c>
      <c r="J93" s="20">
        <v>2400</v>
      </c>
      <c r="K93" s="3"/>
      <c r="L93" s="20"/>
      <c r="M93" s="20"/>
      <c r="N93" s="109"/>
      <c r="O93" s="70"/>
      <c r="P93" s="157"/>
      <c r="Q93"/>
      <c r="R93"/>
      <c r="S93"/>
      <c r="T93"/>
      <c r="U93"/>
      <c r="V93"/>
    </row>
    <row r="94" spans="1:22" x14ac:dyDescent="0.3">
      <c r="A94" s="16" t="s">
        <v>15</v>
      </c>
      <c r="B94" s="17">
        <v>16992.78</v>
      </c>
      <c r="C94" s="83">
        <v>19915.53</v>
      </c>
      <c r="D94" s="17">
        <f>+C94/C$176*D$176</f>
        <v>19895.158728569299</v>
      </c>
      <c r="E94" s="100">
        <f>+D94/$D$98</f>
        <v>0.78172624840345828</v>
      </c>
      <c r="F94" s="112"/>
      <c r="G94" s="167">
        <v>37059</v>
      </c>
      <c r="H94" s="143"/>
      <c r="I94" s="19"/>
      <c r="J94" s="20"/>
      <c r="K94" s="3"/>
      <c r="L94" s="20"/>
      <c r="M94" s="20"/>
      <c r="N94" s="109"/>
      <c r="O94" s="70"/>
      <c r="P94" s="157"/>
      <c r="Q94"/>
      <c r="R94"/>
      <c r="S94"/>
      <c r="T94"/>
      <c r="U94"/>
      <c r="V94"/>
    </row>
    <row r="95" spans="1:22" x14ac:dyDescent="0.3">
      <c r="A95" s="16" t="s">
        <v>17</v>
      </c>
      <c r="B95" s="17"/>
      <c r="C95" s="83"/>
      <c r="D95" s="17"/>
      <c r="E95" s="112"/>
      <c r="F95" s="112"/>
      <c r="G95" s="83"/>
      <c r="H95" s="143"/>
      <c r="I95" s="19" t="s">
        <v>18</v>
      </c>
      <c r="J95" s="20"/>
      <c r="K95" s="3">
        <v>0</v>
      </c>
      <c r="L95" s="20"/>
      <c r="M95" s="20"/>
      <c r="N95" s="109"/>
      <c r="O95" s="70">
        <v>1400</v>
      </c>
      <c r="P95" s="157"/>
      <c r="Q95"/>
      <c r="R95"/>
      <c r="S95"/>
      <c r="T95"/>
      <c r="U95"/>
      <c r="V95"/>
    </row>
    <row r="96" spans="1:22" x14ac:dyDescent="0.3">
      <c r="A96" s="21" t="s">
        <v>66</v>
      </c>
      <c r="B96" s="36">
        <f>+B94+B95</f>
        <v>16992.78</v>
      </c>
      <c r="C96" s="81">
        <f>+C94+C95</f>
        <v>19915.53</v>
      </c>
      <c r="D96" s="36">
        <f>+D94+D95</f>
        <v>19895.158728569299</v>
      </c>
      <c r="E96" s="108"/>
      <c r="F96" s="108"/>
      <c r="G96" s="81">
        <f>+G94+G95</f>
        <v>37059</v>
      </c>
      <c r="H96" s="144">
        <f>+G96/G$98</f>
        <v>0.6494856201475665</v>
      </c>
      <c r="I96" s="19"/>
      <c r="J96" s="20"/>
      <c r="K96" s="3"/>
      <c r="L96" s="20"/>
      <c r="M96" s="20"/>
      <c r="N96" s="109"/>
      <c r="O96" s="3"/>
      <c r="P96" s="157"/>
      <c r="Q96"/>
      <c r="R96"/>
      <c r="S96"/>
      <c r="T96"/>
      <c r="U96"/>
      <c r="V96"/>
    </row>
    <row r="97" spans="1:22" ht="15" customHeight="1" thickBot="1" x14ac:dyDescent="0.35">
      <c r="A97" s="53"/>
      <c r="B97" s="28"/>
      <c r="C97" s="84"/>
      <c r="D97" s="26"/>
      <c r="E97" s="113"/>
      <c r="F97" s="113"/>
      <c r="G97" s="28"/>
      <c r="H97" s="132"/>
      <c r="I97" s="27"/>
      <c r="J97" s="28"/>
      <c r="K97" s="90"/>
      <c r="L97" s="28"/>
      <c r="M97" s="28"/>
      <c r="N97" s="113"/>
      <c r="O97" s="90"/>
      <c r="P97" s="149"/>
      <c r="Q97"/>
      <c r="R97"/>
      <c r="S97"/>
      <c r="T97"/>
      <c r="U97"/>
      <c r="V97"/>
    </row>
    <row r="98" spans="1:22" ht="16.2" thickBot="1" x14ac:dyDescent="0.35">
      <c r="A98" s="29" t="s">
        <v>67</v>
      </c>
      <c r="B98" s="30">
        <f>+B92+B96</f>
        <v>18411.949999999997</v>
      </c>
      <c r="C98" s="30">
        <f>+C92+C96</f>
        <v>46315.53</v>
      </c>
      <c r="D98" s="30">
        <f>+D92+D96</f>
        <v>25450.2887285693</v>
      </c>
      <c r="E98" s="105">
        <f>+D98/C98</f>
        <v>0.54949794871329982</v>
      </c>
      <c r="F98" s="105">
        <f>+D98/$D$173</f>
        <v>2.9077801120001693E-2</v>
      </c>
      <c r="G98" s="30">
        <f>+G92+G96</f>
        <v>57059</v>
      </c>
      <c r="H98" s="105">
        <f>+G98/$G$173</f>
        <v>6.6078749276201512E-2</v>
      </c>
      <c r="I98" s="40"/>
      <c r="J98" s="30">
        <f>SUM(J87:J97)</f>
        <v>11067.77</v>
      </c>
      <c r="K98" s="30">
        <f>SUM(K87:K97)</f>
        <v>31730</v>
      </c>
      <c r="L98" s="30">
        <f>SUM(L87:L97)</f>
        <v>16528.599999999999</v>
      </c>
      <c r="M98" s="166">
        <f>+L98/K98</f>
        <v>0.520913961550583</v>
      </c>
      <c r="N98" s="120">
        <f>+L98/L$173</f>
        <v>2.1205588906759429E-2</v>
      </c>
      <c r="O98" s="30">
        <f>SUM(O87:O97)</f>
        <v>38734</v>
      </c>
      <c r="P98" s="154">
        <f>+O98/$O$173</f>
        <v>4.4856977417486975E-2</v>
      </c>
      <c r="Q98" s="32"/>
      <c r="R98"/>
      <c r="S98"/>
      <c r="T98"/>
      <c r="U98"/>
      <c r="V98"/>
    </row>
    <row r="99" spans="1:22" ht="16.2" thickBot="1" x14ac:dyDescent="0.35">
      <c r="I99" s="162"/>
      <c r="K99" s="3"/>
      <c r="L99" s="3"/>
      <c r="M99" s="3"/>
      <c r="N99" s="98"/>
      <c r="O99" s="3"/>
      <c r="P99" s="163"/>
      <c r="Q99"/>
      <c r="R99"/>
      <c r="S99"/>
      <c r="T99"/>
      <c r="U99"/>
      <c r="V99"/>
    </row>
    <row r="100" spans="1:22" ht="16.8" thickTop="1" thickBot="1" x14ac:dyDescent="0.35">
      <c r="A100" s="196" t="s">
        <v>68</v>
      </c>
      <c r="B100" s="197"/>
      <c r="C100" s="197"/>
      <c r="D100" s="197"/>
      <c r="E100" s="197"/>
      <c r="F100" s="197"/>
      <c r="G100" s="198"/>
      <c r="H100" s="198"/>
      <c r="I100" s="198"/>
      <c r="J100" s="198"/>
      <c r="K100" s="198"/>
      <c r="L100" s="198"/>
      <c r="M100" s="198"/>
      <c r="N100" s="198"/>
      <c r="O100" s="198"/>
      <c r="P100" s="199"/>
      <c r="Q100"/>
      <c r="R100"/>
      <c r="S100"/>
      <c r="T100"/>
      <c r="U100"/>
      <c r="V100"/>
    </row>
    <row r="101" spans="1:22" x14ac:dyDescent="0.3">
      <c r="A101" s="48"/>
      <c r="B101" s="49"/>
      <c r="C101" s="44"/>
      <c r="D101" s="44"/>
      <c r="E101" s="111"/>
      <c r="F101" s="111"/>
      <c r="G101" s="44"/>
      <c r="H101" s="128"/>
      <c r="I101" s="15"/>
      <c r="J101" s="14"/>
      <c r="K101" s="89"/>
      <c r="L101" s="14"/>
      <c r="M101" s="14"/>
      <c r="N101" s="99"/>
      <c r="O101" s="89"/>
      <c r="P101" s="148"/>
      <c r="Q101"/>
      <c r="R101"/>
      <c r="S101"/>
      <c r="T101"/>
      <c r="U101"/>
      <c r="V101"/>
    </row>
    <row r="102" spans="1:22" x14ac:dyDescent="0.3">
      <c r="A102" s="16" t="s">
        <v>69</v>
      </c>
      <c r="B102" s="17">
        <v>0</v>
      </c>
      <c r="C102" s="50">
        <v>2000</v>
      </c>
      <c r="D102" s="50"/>
      <c r="E102" s="112"/>
      <c r="F102" s="112"/>
      <c r="G102" s="50"/>
      <c r="H102" s="143"/>
      <c r="I102" s="19" t="s">
        <v>70</v>
      </c>
      <c r="J102" s="20"/>
      <c r="K102" s="3">
        <v>5000</v>
      </c>
      <c r="L102" s="20"/>
      <c r="M102" s="20"/>
      <c r="N102" s="109"/>
      <c r="O102" s="3"/>
      <c r="P102" s="153"/>
      <c r="Q102"/>
      <c r="R102"/>
      <c r="S102"/>
      <c r="T102"/>
      <c r="U102"/>
      <c r="V102"/>
    </row>
    <row r="103" spans="1:22" x14ac:dyDescent="0.3">
      <c r="A103" s="21" t="s">
        <v>71</v>
      </c>
      <c r="B103" s="36">
        <f>+B102</f>
        <v>0</v>
      </c>
      <c r="C103" s="36">
        <f>+C102</f>
        <v>2000</v>
      </c>
      <c r="D103" s="36">
        <f>+D102</f>
        <v>0</v>
      </c>
      <c r="E103" s="108"/>
      <c r="F103" s="108"/>
      <c r="G103" s="36">
        <f>+G102</f>
        <v>0</v>
      </c>
      <c r="H103" s="144">
        <f>+G103/G$118</f>
        <v>0</v>
      </c>
      <c r="I103" s="19"/>
      <c r="J103" s="20"/>
      <c r="K103" s="3"/>
      <c r="L103" s="20"/>
      <c r="M103" s="20"/>
      <c r="N103" s="109"/>
      <c r="O103" s="3"/>
      <c r="P103" s="153"/>
      <c r="Q103"/>
      <c r="R103"/>
      <c r="S103"/>
      <c r="T103"/>
      <c r="U103"/>
      <c r="V103"/>
    </row>
    <row r="104" spans="1:22" x14ac:dyDescent="0.3">
      <c r="A104" s="37"/>
      <c r="B104" s="17"/>
      <c r="C104" s="50"/>
      <c r="D104" s="50"/>
      <c r="E104" s="112"/>
      <c r="F104" s="112"/>
      <c r="G104" s="50"/>
      <c r="H104" s="143"/>
      <c r="I104" s="19" t="s">
        <v>72</v>
      </c>
      <c r="J104" s="20"/>
      <c r="K104" s="3">
        <v>10000</v>
      </c>
      <c r="L104" s="20">
        <f>11000</f>
        <v>11000</v>
      </c>
      <c r="M104" s="109">
        <f>+L104/$L$118</f>
        <v>0.53231387161557264</v>
      </c>
      <c r="N104" s="109"/>
      <c r="O104" s="178">
        <v>10000</v>
      </c>
      <c r="P104" s="153"/>
      <c r="Q104"/>
      <c r="R104"/>
      <c r="S104"/>
      <c r="T104"/>
      <c r="U104"/>
      <c r="V104"/>
    </row>
    <row r="105" spans="1:22" x14ac:dyDescent="0.3">
      <c r="A105" s="16" t="s">
        <v>73</v>
      </c>
      <c r="B105" s="50">
        <v>772.09</v>
      </c>
      <c r="C105" s="50">
        <v>12000</v>
      </c>
      <c r="D105" s="50">
        <f>18500+2736.97</f>
        <v>21236.97</v>
      </c>
      <c r="E105" s="100">
        <f>+D105/$D$118</f>
        <v>0.34526272996215135</v>
      </c>
      <c r="F105" s="112"/>
      <c r="G105" s="168">
        <f>2000+20000</f>
        <v>22000</v>
      </c>
      <c r="H105" s="142"/>
      <c r="I105" s="19" t="s">
        <v>34</v>
      </c>
      <c r="J105" s="20"/>
      <c r="K105" s="3"/>
      <c r="L105" s="20"/>
      <c r="M105" s="20"/>
      <c r="N105" s="109"/>
      <c r="O105" s="178"/>
      <c r="P105" s="153"/>
      <c r="Q105"/>
      <c r="R105"/>
      <c r="S105"/>
      <c r="T105"/>
      <c r="U105"/>
      <c r="V105"/>
    </row>
    <row r="106" spans="1:22" x14ac:dyDescent="0.3">
      <c r="A106" s="21" t="s">
        <v>74</v>
      </c>
      <c r="B106" s="36">
        <f>+B105</f>
        <v>772.09</v>
      </c>
      <c r="C106" s="36">
        <f>+C105</f>
        <v>12000</v>
      </c>
      <c r="D106" s="36">
        <f>+D105</f>
        <v>21236.97</v>
      </c>
      <c r="E106" s="108">
        <f>+D106/$D$118</f>
        <v>0.34526272996215135</v>
      </c>
      <c r="F106" s="108"/>
      <c r="G106" s="36">
        <f>+G105</f>
        <v>22000</v>
      </c>
      <c r="H106" s="144">
        <f>+G106/G$118</f>
        <v>0.45494964534607191</v>
      </c>
      <c r="I106" s="19"/>
      <c r="J106" s="20"/>
      <c r="K106" s="3"/>
      <c r="L106" s="20"/>
      <c r="M106" s="20"/>
      <c r="N106" s="109"/>
      <c r="O106" s="178"/>
      <c r="P106" s="153"/>
      <c r="Q106"/>
      <c r="R106"/>
      <c r="S106"/>
      <c r="T106"/>
      <c r="U106"/>
      <c r="V106"/>
    </row>
    <row r="107" spans="1:22" x14ac:dyDescent="0.3">
      <c r="A107" s="37"/>
      <c r="B107" s="17"/>
      <c r="C107" s="50"/>
      <c r="D107" s="50"/>
      <c r="E107" s="112"/>
      <c r="F107" s="112"/>
      <c r="G107" s="50"/>
      <c r="H107" s="143"/>
      <c r="I107" s="19" t="s">
        <v>70</v>
      </c>
      <c r="J107" s="20">
        <v>7700</v>
      </c>
      <c r="K107" s="3">
        <v>5000</v>
      </c>
      <c r="L107" s="20"/>
      <c r="M107" s="20"/>
      <c r="N107" s="109"/>
      <c r="O107" s="178">
        <v>1000</v>
      </c>
      <c r="P107" s="153"/>
      <c r="Q107"/>
      <c r="R107"/>
      <c r="S107"/>
      <c r="T107"/>
      <c r="U107"/>
      <c r="V107"/>
    </row>
    <row r="108" spans="1:22" x14ac:dyDescent="0.3">
      <c r="A108" s="16" t="s">
        <v>75</v>
      </c>
      <c r="B108" s="17">
        <v>-2.93</v>
      </c>
      <c r="C108" s="50">
        <v>3000</v>
      </c>
      <c r="D108" s="50">
        <v>6204.68</v>
      </c>
      <c r="E108" s="112">
        <f>+D108/$D$118</f>
        <v>0.10087337107607917</v>
      </c>
      <c r="F108" s="112"/>
      <c r="G108" s="168">
        <v>6410</v>
      </c>
      <c r="H108" s="142"/>
      <c r="I108" s="19"/>
      <c r="J108" s="20"/>
      <c r="K108" s="3"/>
      <c r="L108" s="20"/>
      <c r="M108" s="20"/>
      <c r="N108" s="109"/>
      <c r="O108" s="178"/>
      <c r="P108" s="153"/>
      <c r="Q108"/>
      <c r="R108"/>
      <c r="S108"/>
      <c r="T108"/>
      <c r="U108"/>
      <c r="V108"/>
    </row>
    <row r="109" spans="1:22" x14ac:dyDescent="0.3">
      <c r="A109" s="21" t="s">
        <v>76</v>
      </c>
      <c r="B109" s="36">
        <f>+B108</f>
        <v>-2.93</v>
      </c>
      <c r="C109" s="36">
        <f>+C108</f>
        <v>3000</v>
      </c>
      <c r="D109" s="36">
        <f>+D108</f>
        <v>6204.68</v>
      </c>
      <c r="E109" s="108">
        <f>+D109/$D$118</f>
        <v>0.10087337107607917</v>
      </c>
      <c r="F109" s="108"/>
      <c r="G109" s="36">
        <f>+G108</f>
        <v>6410</v>
      </c>
      <c r="H109" s="144">
        <f>+G109/G$118</f>
        <v>0.13255578303037824</v>
      </c>
      <c r="I109" s="19"/>
      <c r="J109" s="20"/>
      <c r="K109" s="3"/>
      <c r="L109" s="20"/>
      <c r="M109" s="20"/>
      <c r="N109" s="109"/>
      <c r="O109" s="178"/>
      <c r="P109" s="153"/>
      <c r="Q109"/>
      <c r="R109"/>
      <c r="S109"/>
      <c r="T109"/>
      <c r="U109"/>
      <c r="V109"/>
    </row>
    <row r="110" spans="1:22" x14ac:dyDescent="0.3">
      <c r="A110" s="37"/>
      <c r="B110" s="17"/>
      <c r="C110" s="50"/>
      <c r="D110" s="50"/>
      <c r="E110" s="112"/>
      <c r="F110" s="112"/>
      <c r="G110" s="50"/>
      <c r="H110" s="143"/>
      <c r="I110" s="19" t="s">
        <v>139</v>
      </c>
      <c r="J110" s="20">
        <v>522</v>
      </c>
      <c r="K110" s="3"/>
      <c r="L110" s="20">
        <v>6169</v>
      </c>
      <c r="M110" s="109">
        <f>+L110/$L$118</f>
        <v>0.29853129763604247</v>
      </c>
      <c r="N110" s="109"/>
      <c r="O110" s="178">
        <v>7960</v>
      </c>
      <c r="P110" s="153"/>
      <c r="Q110"/>
      <c r="R110"/>
      <c r="S110"/>
      <c r="T110"/>
      <c r="U110"/>
      <c r="V110"/>
    </row>
    <row r="111" spans="1:22" x14ac:dyDescent="0.3">
      <c r="A111" s="16" t="s">
        <v>77</v>
      </c>
      <c r="B111" s="17">
        <v>660</v>
      </c>
      <c r="C111" s="50">
        <v>1000</v>
      </c>
      <c r="D111" s="50">
        <f>3023.5+337.65</f>
        <v>3361.15</v>
      </c>
      <c r="E111" s="112">
        <f>+D111/$D$118</f>
        <v>5.4644321897722926E-2</v>
      </c>
      <c r="F111" s="112"/>
      <c r="G111" s="168">
        <f>590+3000</f>
        <v>3590</v>
      </c>
      <c r="H111" s="142"/>
      <c r="I111" s="19" t="s">
        <v>78</v>
      </c>
      <c r="J111" s="20"/>
      <c r="K111" s="3"/>
      <c r="L111" s="20"/>
      <c r="M111" s="20"/>
      <c r="N111" s="109"/>
      <c r="O111" s="3"/>
      <c r="P111" s="153"/>
      <c r="Q111"/>
      <c r="R111"/>
      <c r="S111"/>
      <c r="T111"/>
      <c r="U111"/>
      <c r="V111"/>
    </row>
    <row r="112" spans="1:22" x14ac:dyDescent="0.3">
      <c r="A112" s="21" t="s">
        <v>79</v>
      </c>
      <c r="B112" s="36">
        <f>+B111</f>
        <v>660</v>
      </c>
      <c r="C112" s="36">
        <f>+C111</f>
        <v>1000</v>
      </c>
      <c r="D112" s="36">
        <f>+D111</f>
        <v>3361.15</v>
      </c>
      <c r="E112" s="108">
        <f>+D112/$D$118</f>
        <v>5.4644321897722926E-2</v>
      </c>
      <c r="F112" s="108"/>
      <c r="G112" s="36">
        <f>+G111</f>
        <v>3590</v>
      </c>
      <c r="H112" s="144">
        <f>+G112/G$118</f>
        <v>7.4239510308745371E-2</v>
      </c>
      <c r="I112" s="19" t="s">
        <v>33</v>
      </c>
      <c r="J112" s="20"/>
      <c r="K112" s="3"/>
      <c r="L112" s="20"/>
      <c r="M112" s="20"/>
      <c r="N112" s="109"/>
      <c r="O112" s="3"/>
      <c r="P112" s="153"/>
      <c r="Q112"/>
      <c r="R112"/>
      <c r="S112"/>
      <c r="T112"/>
      <c r="U112"/>
      <c r="V112"/>
    </row>
    <row r="113" spans="1:22" x14ac:dyDescent="0.3">
      <c r="A113" s="37"/>
      <c r="B113" s="17"/>
      <c r="C113" s="50"/>
      <c r="D113" s="50"/>
      <c r="E113" s="112"/>
      <c r="F113" s="112"/>
      <c r="G113" s="50"/>
      <c r="H113" s="143"/>
      <c r="I113" s="19" t="s">
        <v>154</v>
      </c>
      <c r="J113" s="20"/>
      <c r="K113" s="3"/>
      <c r="L113" s="20">
        <v>3495.5</v>
      </c>
      <c r="M113" s="109">
        <f>+L113/$L$118</f>
        <v>0.16915483074838492</v>
      </c>
      <c r="N113" s="109"/>
      <c r="O113" s="3"/>
      <c r="P113" s="153"/>
      <c r="Q113"/>
      <c r="R113"/>
      <c r="S113"/>
      <c r="T113"/>
      <c r="U113"/>
      <c r="V113"/>
    </row>
    <row r="114" spans="1:22" x14ac:dyDescent="0.3">
      <c r="A114" s="16" t="s">
        <v>15</v>
      </c>
      <c r="B114" s="17">
        <v>21731.16</v>
      </c>
      <c r="C114" s="50">
        <v>25640.25</v>
      </c>
      <c r="D114" s="17">
        <f>+C114/C$176*D$176</f>
        <v>25614.023005674419</v>
      </c>
      <c r="E114" s="112">
        <f>+D114/$D$118</f>
        <v>0.41642322366385121</v>
      </c>
      <c r="F114" s="112"/>
      <c r="G114" s="167">
        <v>16357</v>
      </c>
      <c r="H114" s="143"/>
      <c r="I114" s="19" t="s">
        <v>49</v>
      </c>
      <c r="J114" s="20">
        <v>2900</v>
      </c>
      <c r="K114" s="3"/>
      <c r="L114" s="20"/>
      <c r="M114" s="20"/>
      <c r="N114" s="109"/>
      <c r="O114" s="3"/>
      <c r="P114" s="153"/>
      <c r="Q114"/>
      <c r="R114"/>
      <c r="S114"/>
      <c r="T114"/>
      <c r="U114"/>
      <c r="V114"/>
    </row>
    <row r="115" spans="1:22" x14ac:dyDescent="0.3">
      <c r="A115" s="16" t="s">
        <v>17</v>
      </c>
      <c r="B115" s="17">
        <v>54.6</v>
      </c>
      <c r="C115" s="50"/>
      <c r="D115" s="50">
        <f>1792.77+3300</f>
        <v>5092.7700000000004</v>
      </c>
      <c r="E115" s="112"/>
      <c r="F115" s="112"/>
      <c r="G115" s="50"/>
      <c r="H115" s="143"/>
      <c r="I115" s="19"/>
      <c r="J115" s="20"/>
      <c r="K115" s="3"/>
      <c r="L115" s="20"/>
      <c r="M115" s="20"/>
      <c r="N115" s="109"/>
      <c r="O115" s="3"/>
      <c r="P115" s="153"/>
      <c r="Q115"/>
      <c r="R115"/>
      <c r="S115"/>
      <c r="T115"/>
      <c r="U115"/>
      <c r="V115"/>
    </row>
    <row r="116" spans="1:22" x14ac:dyDescent="0.3">
      <c r="A116" s="21" t="s">
        <v>80</v>
      </c>
      <c r="B116" s="36">
        <f>+B114+B115</f>
        <v>21785.759999999998</v>
      </c>
      <c r="C116" s="36">
        <f>+C114+C115</f>
        <v>25640.25</v>
      </c>
      <c r="D116" s="36">
        <f>+D114+D115</f>
        <v>30706.793005674419</v>
      </c>
      <c r="E116" s="108"/>
      <c r="F116" s="108"/>
      <c r="G116" s="36">
        <f>+G114+G115</f>
        <v>16357</v>
      </c>
      <c r="H116" s="144">
        <f>+G116/G$118</f>
        <v>0.33825506131480448</v>
      </c>
      <c r="I116" s="19"/>
      <c r="J116" s="20"/>
      <c r="K116" s="3"/>
      <c r="L116" s="20"/>
      <c r="M116" s="20"/>
      <c r="N116" s="109"/>
      <c r="O116" s="3"/>
      <c r="P116" s="153"/>
      <c r="Q116"/>
      <c r="R116"/>
      <c r="S116"/>
      <c r="T116"/>
      <c r="U116"/>
      <c r="V116"/>
    </row>
    <row r="117" spans="1:22" ht="16.2" thickBot="1" x14ac:dyDescent="0.35">
      <c r="A117" s="25"/>
      <c r="B117" s="26"/>
      <c r="C117" s="26"/>
      <c r="D117" s="26"/>
      <c r="E117" s="104"/>
      <c r="F117" s="104"/>
      <c r="G117" s="26"/>
      <c r="H117" s="132"/>
      <c r="I117" s="27"/>
      <c r="J117" s="28"/>
      <c r="K117" s="90"/>
      <c r="L117" s="20"/>
      <c r="M117" s="20"/>
      <c r="N117" s="109"/>
      <c r="O117" s="90"/>
      <c r="P117" s="149"/>
      <c r="Q117"/>
      <c r="R117"/>
      <c r="S117"/>
      <c r="T117"/>
      <c r="U117"/>
      <c r="V117"/>
    </row>
    <row r="118" spans="1:22" ht="16.2" thickBot="1" x14ac:dyDescent="0.35">
      <c r="A118" s="29" t="s">
        <v>81</v>
      </c>
      <c r="B118" s="30">
        <f>+B103+B106+B109+B112+B116</f>
        <v>23214.92</v>
      </c>
      <c r="C118" s="30">
        <f>+C103+C106+C109+C112+C116</f>
        <v>43640.25</v>
      </c>
      <c r="D118" s="30">
        <f>+D103+D106+D109+D112+D116</f>
        <v>61509.593005674426</v>
      </c>
      <c r="E118" s="105">
        <f>+D118/C118</f>
        <v>1.4094693088530525</v>
      </c>
      <c r="F118" s="105">
        <f>+D118/$D$173</f>
        <v>7.0276755264606902E-2</v>
      </c>
      <c r="G118" s="30">
        <f>+G103+G106+G109+G112+G116</f>
        <v>48357</v>
      </c>
      <c r="H118" s="105">
        <f>+G118/$G$173</f>
        <v>5.60011580775912E-2</v>
      </c>
      <c r="I118" s="40"/>
      <c r="J118" s="30">
        <f>SUM(J102:J116)</f>
        <v>11122</v>
      </c>
      <c r="K118" s="91">
        <f>SUM(K102:K116)</f>
        <v>20000</v>
      </c>
      <c r="L118" s="30">
        <f>SUM(L102:L116)</f>
        <v>20664.5</v>
      </c>
      <c r="M118" s="105">
        <f>+L118/K118</f>
        <v>1.0332250000000001</v>
      </c>
      <c r="N118" s="124">
        <f>+L118/L$173</f>
        <v>2.651179724621143E-2</v>
      </c>
      <c r="O118" s="41">
        <f>SUM(O102:O116)</f>
        <v>18960</v>
      </c>
      <c r="P118" s="154">
        <f>+O118/$O$173</f>
        <v>2.1957151129125652E-2</v>
      </c>
      <c r="Q118" s="32"/>
      <c r="R118"/>
      <c r="S118"/>
      <c r="T118"/>
      <c r="U118"/>
      <c r="V118"/>
    </row>
    <row r="119" spans="1:22" ht="16.2" thickBot="1" x14ac:dyDescent="0.35">
      <c r="A119" s="33"/>
      <c r="B119" s="34"/>
      <c r="C119" s="34"/>
      <c r="D119" s="34"/>
      <c r="E119" s="106"/>
      <c r="F119" s="106"/>
      <c r="G119" s="34"/>
      <c r="H119" s="106"/>
      <c r="I119" s="35"/>
      <c r="J119" s="34"/>
      <c r="K119" s="34"/>
      <c r="L119" s="34"/>
      <c r="M119" s="34"/>
      <c r="N119" s="106"/>
      <c r="O119" s="34"/>
      <c r="P119" s="161"/>
      <c r="Q119"/>
      <c r="R119"/>
      <c r="S119"/>
      <c r="T119"/>
      <c r="U119"/>
      <c r="V119"/>
    </row>
    <row r="120" spans="1:22" ht="16.8" thickTop="1" thickBot="1" x14ac:dyDescent="0.35">
      <c r="A120" s="196" t="s">
        <v>82</v>
      </c>
      <c r="B120" s="197"/>
      <c r="C120" s="197"/>
      <c r="D120" s="197"/>
      <c r="E120" s="197"/>
      <c r="F120" s="197"/>
      <c r="G120" s="198"/>
      <c r="H120" s="198"/>
      <c r="I120" s="198"/>
      <c r="J120" s="198"/>
      <c r="K120" s="198"/>
      <c r="L120" s="198"/>
      <c r="M120" s="198"/>
      <c r="N120" s="198"/>
      <c r="O120" s="198"/>
      <c r="P120" s="199"/>
      <c r="Q120"/>
      <c r="R120"/>
      <c r="S120"/>
      <c r="T120"/>
      <c r="U120"/>
      <c r="V120"/>
    </row>
    <row r="121" spans="1:22" x14ac:dyDescent="0.3">
      <c r="A121" s="48"/>
      <c r="B121" s="14"/>
      <c r="C121" s="44"/>
      <c r="D121" s="44"/>
      <c r="E121" s="111"/>
      <c r="F121" s="111"/>
      <c r="G121" s="44"/>
      <c r="H121" s="128"/>
      <c r="I121" s="15"/>
      <c r="J121" s="14"/>
      <c r="K121" s="89"/>
      <c r="L121" s="14"/>
      <c r="M121" s="14"/>
      <c r="N121" s="99"/>
      <c r="O121" s="89"/>
      <c r="P121" s="148"/>
      <c r="Q121"/>
      <c r="R121"/>
      <c r="S121"/>
      <c r="T121"/>
      <c r="U121"/>
      <c r="V121"/>
    </row>
    <row r="122" spans="1:22" x14ac:dyDescent="0.3">
      <c r="A122" s="16" t="s">
        <v>83</v>
      </c>
      <c r="B122" s="17">
        <v>8974.02</v>
      </c>
      <c r="C122" s="50">
        <v>2000</v>
      </c>
      <c r="D122" s="50">
        <v>2088.1</v>
      </c>
      <c r="E122" s="112">
        <f>+D122/$D$135</f>
        <v>5.9108788919266984E-2</v>
      </c>
      <c r="F122" s="112"/>
      <c r="G122" s="50">
        <v>2500</v>
      </c>
      <c r="H122" s="143"/>
      <c r="I122" s="19" t="s">
        <v>172</v>
      </c>
      <c r="J122" s="20"/>
      <c r="K122" s="3"/>
      <c r="L122" s="20"/>
      <c r="M122" s="20"/>
      <c r="N122" s="109"/>
      <c r="O122" s="181">
        <v>31500</v>
      </c>
      <c r="P122" s="153"/>
      <c r="Q122"/>
      <c r="R122"/>
      <c r="S122"/>
      <c r="T122"/>
      <c r="U122"/>
      <c r="V122"/>
    </row>
    <row r="123" spans="1:22" x14ac:dyDescent="0.3">
      <c r="A123" s="16" t="s">
        <v>84</v>
      </c>
      <c r="B123" s="17">
        <v>11656.7</v>
      </c>
      <c r="C123" s="50">
        <v>1500</v>
      </c>
      <c r="D123" s="50">
        <v>8433</v>
      </c>
      <c r="E123" s="112">
        <f>+D123/$D$135</f>
        <v>0.23871673624643386</v>
      </c>
      <c r="F123" s="112"/>
      <c r="G123" s="179">
        <v>10000</v>
      </c>
      <c r="H123" s="143"/>
      <c r="I123" s="19" t="s">
        <v>85</v>
      </c>
      <c r="J123" s="20"/>
      <c r="K123" s="3"/>
      <c r="L123" s="20">
        <f>467.41+367.5</f>
        <v>834.91000000000008</v>
      </c>
      <c r="M123" s="109">
        <f>+L123/$L$135</f>
        <v>1.8507508873478345E-3</v>
      </c>
      <c r="N123" s="109"/>
      <c r="O123" s="181"/>
      <c r="P123" s="153"/>
      <c r="Q123"/>
      <c r="R123"/>
      <c r="S123"/>
      <c r="T123"/>
      <c r="U123"/>
      <c r="V123"/>
    </row>
    <row r="124" spans="1:22" x14ac:dyDescent="0.3">
      <c r="A124" s="16" t="s">
        <v>126</v>
      </c>
      <c r="B124" s="17">
        <v>7181.76</v>
      </c>
      <c r="C124" s="50"/>
      <c r="D124" s="50">
        <v>4372.87</v>
      </c>
      <c r="E124" s="112">
        <f>+D124/$D$135</f>
        <v>0.12378480427249415</v>
      </c>
      <c r="F124" s="112"/>
      <c r="G124" s="50">
        <v>3500</v>
      </c>
      <c r="H124" s="143"/>
      <c r="I124" s="19" t="s">
        <v>156</v>
      </c>
      <c r="J124" s="20"/>
      <c r="K124" s="3"/>
      <c r="L124" s="20">
        <v>3000</v>
      </c>
      <c r="M124" s="109">
        <f t="shared" ref="M124:M132" si="2">+L124/$L$135</f>
        <v>6.6501211652076307E-3</v>
      </c>
      <c r="N124" s="109"/>
      <c r="O124" s="178">
        <v>3000</v>
      </c>
      <c r="P124" s="153"/>
      <c r="Q124"/>
      <c r="R124"/>
      <c r="S124"/>
      <c r="T124"/>
      <c r="U124"/>
      <c r="V124"/>
    </row>
    <row r="125" spans="1:22" x14ac:dyDescent="0.3">
      <c r="A125" s="16" t="s">
        <v>145</v>
      </c>
      <c r="B125" s="52"/>
      <c r="C125" s="50"/>
      <c r="D125" s="50">
        <v>13641.07</v>
      </c>
      <c r="E125" s="112">
        <f>+D125/$D$135</f>
        <v>0.38614392378858547</v>
      </c>
      <c r="F125" s="112"/>
      <c r="G125" s="179">
        <v>32000</v>
      </c>
      <c r="H125" s="143"/>
      <c r="I125" s="19" t="s">
        <v>146</v>
      </c>
      <c r="J125" s="20"/>
      <c r="K125" s="3"/>
      <c r="L125" s="20">
        <f>4250*4</f>
        <v>17000</v>
      </c>
      <c r="M125" s="109">
        <f t="shared" si="2"/>
        <v>3.7684019936176573E-2</v>
      </c>
      <c r="N125" s="109"/>
      <c r="O125" s="178">
        <f>5000*9</f>
        <v>45000</v>
      </c>
      <c r="P125" s="153"/>
      <c r="Q125"/>
      <c r="R125"/>
      <c r="S125"/>
      <c r="T125"/>
      <c r="U125"/>
      <c r="V125"/>
    </row>
    <row r="126" spans="1:22" x14ac:dyDescent="0.3">
      <c r="A126" s="21" t="s">
        <v>86</v>
      </c>
      <c r="B126" s="36">
        <f>+SUM(B121:B125)</f>
        <v>27812.480000000003</v>
      </c>
      <c r="C126" s="36">
        <f>+SUM(C121:C125)</f>
        <v>3500</v>
      </c>
      <c r="D126" s="36">
        <f>+SUM(D121:D125)</f>
        <v>28535.040000000001</v>
      </c>
      <c r="E126" s="108">
        <f>+D126/$D$135</f>
        <v>0.80775425322678052</v>
      </c>
      <c r="F126" s="108"/>
      <c r="G126" s="36">
        <f>+SUM(G121:G125)</f>
        <v>48000</v>
      </c>
      <c r="H126" s="144">
        <f>+G126/G$135</f>
        <v>0.48051415014065052</v>
      </c>
      <c r="I126" s="19" t="s">
        <v>91</v>
      </c>
      <c r="J126" s="20">
        <v>3000</v>
      </c>
      <c r="K126" s="3">
        <v>3500</v>
      </c>
      <c r="L126" s="20"/>
      <c r="M126" s="109"/>
      <c r="N126" s="109"/>
      <c r="O126" s="178">
        <v>0</v>
      </c>
      <c r="P126" s="153"/>
      <c r="Q126"/>
      <c r="R126"/>
      <c r="S126"/>
      <c r="T126"/>
      <c r="U126"/>
      <c r="V126"/>
    </row>
    <row r="127" spans="1:22" x14ac:dyDescent="0.3">
      <c r="A127" s="16" t="s">
        <v>87</v>
      </c>
      <c r="B127" s="17"/>
      <c r="C127" s="50">
        <v>3750</v>
      </c>
      <c r="D127" s="50"/>
      <c r="E127" s="112"/>
      <c r="F127" s="112"/>
      <c r="G127" s="179">
        <v>0</v>
      </c>
      <c r="H127" s="143"/>
      <c r="I127" s="19" t="s">
        <v>34</v>
      </c>
      <c r="J127" s="20">
        <v>3500</v>
      </c>
      <c r="K127" s="3"/>
      <c r="L127" s="20"/>
      <c r="M127" s="109"/>
      <c r="N127" s="109"/>
      <c r="O127" s="178"/>
      <c r="P127" s="153"/>
      <c r="Q127"/>
      <c r="R127"/>
      <c r="S127"/>
      <c r="T127"/>
      <c r="U127"/>
      <c r="V127"/>
    </row>
    <row r="128" spans="1:22" x14ac:dyDescent="0.3">
      <c r="A128" s="16" t="s">
        <v>88</v>
      </c>
      <c r="B128" s="17"/>
      <c r="C128" s="50">
        <v>2100</v>
      </c>
      <c r="D128" s="50">
        <v>861.07</v>
      </c>
      <c r="E128" s="112">
        <f>+D128/$D$135</f>
        <v>2.437469703305073E-2</v>
      </c>
      <c r="F128" s="112"/>
      <c r="G128" s="50">
        <v>1000</v>
      </c>
      <c r="H128" s="143"/>
      <c r="I128" s="19" t="s">
        <v>157</v>
      </c>
      <c r="J128" s="20">
        <v>1000</v>
      </c>
      <c r="K128" s="3"/>
      <c r="L128" s="20">
        <v>1000</v>
      </c>
      <c r="M128" s="109">
        <f t="shared" si="2"/>
        <v>2.2167070550692101E-3</v>
      </c>
      <c r="N128" s="109"/>
      <c r="O128" s="178">
        <v>1000</v>
      </c>
      <c r="P128" s="153"/>
      <c r="Q128"/>
      <c r="R128"/>
      <c r="S128"/>
      <c r="T128"/>
      <c r="U128"/>
      <c r="V128"/>
    </row>
    <row r="129" spans="1:22" x14ac:dyDescent="0.3">
      <c r="A129" s="21" t="s">
        <v>89</v>
      </c>
      <c r="B129" s="36">
        <f>+B127+B128</f>
        <v>0</v>
      </c>
      <c r="C129" s="36">
        <f>+C127+C128</f>
        <v>5850</v>
      </c>
      <c r="D129" s="36">
        <f>+D127+D128</f>
        <v>861.07</v>
      </c>
      <c r="E129" s="108"/>
      <c r="F129" s="108"/>
      <c r="G129" s="36">
        <f>+G127+G128</f>
        <v>1000</v>
      </c>
      <c r="H129" s="144">
        <f>+G129/G$135</f>
        <v>1.0010711461263552E-2</v>
      </c>
      <c r="I129" s="19" t="s">
        <v>163</v>
      </c>
      <c r="J129" s="20"/>
      <c r="K129" s="3">
        <v>3000</v>
      </c>
      <c r="L129" s="20"/>
      <c r="M129" s="109"/>
      <c r="N129" s="109"/>
      <c r="O129" s="178">
        <v>0</v>
      </c>
      <c r="P129" s="153"/>
      <c r="Q129"/>
      <c r="R129"/>
      <c r="S129"/>
      <c r="T129"/>
      <c r="U129"/>
      <c r="V129"/>
    </row>
    <row r="130" spans="1:22" x14ac:dyDescent="0.3">
      <c r="A130" s="37"/>
      <c r="B130" s="17"/>
      <c r="C130" s="50"/>
      <c r="D130" s="50"/>
      <c r="E130" s="112"/>
      <c r="F130" s="112"/>
      <c r="G130" s="50"/>
      <c r="H130" s="143"/>
      <c r="I130" s="19" t="s">
        <v>168</v>
      </c>
      <c r="J130" s="20">
        <v>22533.3</v>
      </c>
      <c r="K130" s="3">
        <v>22600</v>
      </c>
      <c r="L130" s="20">
        <v>22266.69</v>
      </c>
      <c r="M130" s="109">
        <f t="shared" si="2"/>
        <v>4.9358728816039026E-2</v>
      </c>
      <c r="N130" s="109"/>
      <c r="O130" s="178">
        <v>22100</v>
      </c>
      <c r="P130" s="153"/>
      <c r="Q130"/>
      <c r="R130"/>
      <c r="S130"/>
      <c r="T130"/>
      <c r="U130"/>
      <c r="V130"/>
    </row>
    <row r="131" spans="1:22" x14ac:dyDescent="0.3">
      <c r="A131" s="16" t="s">
        <v>15</v>
      </c>
      <c r="B131" s="17">
        <v>4698.0200000000004</v>
      </c>
      <c r="C131" s="50">
        <v>5936.35</v>
      </c>
      <c r="D131" s="17">
        <f>+C131/C$176*D$176</f>
        <v>5930.2778042232558</v>
      </c>
      <c r="E131" s="112">
        <f>+D131/$D$135</f>
        <v>0.16787104974016884</v>
      </c>
      <c r="F131" s="112"/>
      <c r="G131" s="167">
        <v>50893</v>
      </c>
      <c r="H131" s="143"/>
      <c r="I131" s="19" t="s">
        <v>169</v>
      </c>
      <c r="J131" s="20">
        <v>336461.66</v>
      </c>
      <c r="K131" s="3">
        <v>446000</v>
      </c>
      <c r="L131" s="20">
        <v>388461.34</v>
      </c>
      <c r="M131" s="109">
        <f t="shared" si="2"/>
        <v>0.86110499299963927</v>
      </c>
      <c r="N131" s="109"/>
      <c r="O131" s="178">
        <f>254000+28000+147000</f>
        <v>429000</v>
      </c>
      <c r="P131" s="153"/>
      <c r="Q131"/>
      <c r="R131"/>
      <c r="S131"/>
      <c r="T131"/>
      <c r="U131"/>
      <c r="V131"/>
    </row>
    <row r="132" spans="1:22" x14ac:dyDescent="0.3">
      <c r="A132" s="16" t="s">
        <v>17</v>
      </c>
      <c r="B132" s="17"/>
      <c r="C132" s="50"/>
      <c r="D132" s="50"/>
      <c r="E132" s="112"/>
      <c r="F132" s="112"/>
      <c r="G132" s="50"/>
      <c r="H132" s="143"/>
      <c r="I132" s="19" t="s">
        <v>90</v>
      </c>
      <c r="J132" s="20">
        <v>18263.36</v>
      </c>
      <c r="K132" s="3">
        <v>23000</v>
      </c>
      <c r="L132" s="20">
        <v>18556.66</v>
      </c>
      <c r="M132" s="109">
        <f t="shared" si="2"/>
        <v>4.1134679140520609E-2</v>
      </c>
      <c r="N132" s="109"/>
      <c r="O132" s="178">
        <v>21367</v>
      </c>
      <c r="P132" s="153"/>
      <c r="Q132"/>
      <c r="R132"/>
      <c r="S132"/>
      <c r="T132"/>
      <c r="U132"/>
      <c r="V132"/>
    </row>
    <row r="133" spans="1:22" x14ac:dyDescent="0.3">
      <c r="A133" s="21" t="s">
        <v>92</v>
      </c>
      <c r="B133" s="36">
        <f>+B131+B132</f>
        <v>4698.0200000000004</v>
      </c>
      <c r="C133" s="36">
        <f>+C131+C132</f>
        <v>5936.35</v>
      </c>
      <c r="D133" s="36">
        <f>+D131+D132</f>
        <v>5930.2778042232558</v>
      </c>
      <c r="E133" s="108"/>
      <c r="F133" s="108"/>
      <c r="G133" s="36">
        <f>+G131+G132</f>
        <v>50893</v>
      </c>
      <c r="H133" s="144">
        <f>+G133/G$135</f>
        <v>0.509475138398086</v>
      </c>
      <c r="I133" s="19" t="s">
        <v>49</v>
      </c>
      <c r="J133" s="20"/>
      <c r="K133" s="3"/>
      <c r="L133" s="20"/>
      <c r="M133" s="20"/>
      <c r="N133" s="109"/>
      <c r="O133" s="3"/>
      <c r="P133" s="153"/>
      <c r="Q133"/>
      <c r="R133"/>
      <c r="S133"/>
      <c r="T133"/>
      <c r="U133"/>
      <c r="V133"/>
    </row>
    <row r="134" spans="1:22" ht="16.2" thickBot="1" x14ac:dyDescent="0.35">
      <c r="A134" s="25"/>
      <c r="B134" s="38"/>
      <c r="C134" s="54"/>
      <c r="D134" s="54"/>
      <c r="E134" s="114"/>
      <c r="F134" s="114"/>
      <c r="G134" s="54"/>
      <c r="H134" s="132"/>
      <c r="I134" s="27"/>
      <c r="J134" s="28"/>
      <c r="K134" s="90"/>
      <c r="L134" s="28"/>
      <c r="M134" s="28"/>
      <c r="N134" s="113"/>
      <c r="O134" s="90"/>
      <c r="P134" s="153"/>
      <c r="Q134"/>
      <c r="R134"/>
      <c r="S134"/>
      <c r="T134"/>
      <c r="U134"/>
      <c r="V134"/>
    </row>
    <row r="135" spans="1:22" ht="16.2" thickBot="1" x14ac:dyDescent="0.35">
      <c r="A135" s="29" t="s">
        <v>93</v>
      </c>
      <c r="B135" s="79">
        <f>+B126+B129+B133</f>
        <v>32510.500000000004</v>
      </c>
      <c r="C135" s="30">
        <f>+C126+C129+C133</f>
        <v>15286.35</v>
      </c>
      <c r="D135" s="30">
        <f>+D126+D129+D133</f>
        <v>35326.387804223254</v>
      </c>
      <c r="E135" s="105">
        <f>+D135/C135</f>
        <v>2.3109759886580679</v>
      </c>
      <c r="F135" s="105">
        <f>+D135/$D$173</f>
        <v>4.036157270413028E-2</v>
      </c>
      <c r="G135" s="30">
        <f>+G126+G129+G133</f>
        <v>99893</v>
      </c>
      <c r="H135" s="105">
        <f>+G135/$G$173</f>
        <v>0.11568384481760279</v>
      </c>
      <c r="I135" s="40"/>
      <c r="J135" s="30">
        <f>SUM(J122:J133)</f>
        <v>384758.31999999995</v>
      </c>
      <c r="K135" s="91">
        <f>SUM(K122:K133)</f>
        <v>498100</v>
      </c>
      <c r="L135" s="30">
        <f>SUM(L122:L133)</f>
        <v>451119.6</v>
      </c>
      <c r="M135" s="166">
        <f>+L135/K135</f>
        <v>0.90568078699056409</v>
      </c>
      <c r="N135" s="159">
        <f>+L135/L$173</f>
        <v>0.57876993728336035</v>
      </c>
      <c r="O135" s="30">
        <f>SUM(O122:O133)</f>
        <v>552967</v>
      </c>
      <c r="P135" s="154">
        <f>+O135/$O$173</f>
        <v>0.64037869137232195</v>
      </c>
      <c r="Q135" s="32"/>
      <c r="R135"/>
      <c r="S135"/>
      <c r="T135"/>
      <c r="U135"/>
      <c r="V135"/>
    </row>
    <row r="136" spans="1:22" ht="16.2" thickBot="1" x14ac:dyDescent="0.35">
      <c r="A136" s="33"/>
      <c r="B136" s="34"/>
      <c r="C136" s="34"/>
      <c r="D136" s="34"/>
      <c r="E136" s="106"/>
      <c r="F136" s="106"/>
      <c r="G136" s="34"/>
      <c r="H136" s="106"/>
      <c r="I136" s="35"/>
      <c r="J136" s="34"/>
      <c r="K136" s="34"/>
      <c r="L136" s="34"/>
      <c r="M136" s="34"/>
      <c r="N136" s="106"/>
      <c r="O136" s="34"/>
      <c r="P136" s="161"/>
      <c r="Q136"/>
      <c r="R136"/>
      <c r="S136"/>
      <c r="T136"/>
      <c r="U136"/>
      <c r="V136"/>
    </row>
    <row r="137" spans="1:22" ht="16.8" thickTop="1" thickBot="1" x14ac:dyDescent="0.35">
      <c r="A137" s="196" t="s">
        <v>94</v>
      </c>
      <c r="B137" s="197"/>
      <c r="C137" s="197"/>
      <c r="D137" s="197"/>
      <c r="E137" s="197"/>
      <c r="F137" s="197"/>
      <c r="G137" s="198"/>
      <c r="H137" s="198"/>
      <c r="I137" s="198"/>
      <c r="J137" s="198"/>
      <c r="K137" s="198"/>
      <c r="L137" s="198"/>
      <c r="M137" s="198"/>
      <c r="N137" s="198"/>
      <c r="O137" s="198"/>
      <c r="P137" s="199"/>
      <c r="Q137"/>
      <c r="R137"/>
      <c r="S137"/>
      <c r="T137"/>
      <c r="U137"/>
      <c r="V137"/>
    </row>
    <row r="138" spans="1:22" x14ac:dyDescent="0.3">
      <c r="A138" s="48"/>
      <c r="B138" s="14"/>
      <c r="C138" s="44"/>
      <c r="D138" s="44"/>
      <c r="E138" s="111"/>
      <c r="F138" s="111"/>
      <c r="G138" s="44"/>
      <c r="H138" s="128"/>
      <c r="I138" s="15"/>
      <c r="J138" s="14"/>
      <c r="K138" s="89"/>
      <c r="L138" s="14"/>
      <c r="M138" s="14"/>
      <c r="N138" s="99"/>
      <c r="O138" s="89"/>
      <c r="P138" s="148"/>
      <c r="Q138"/>
      <c r="R138"/>
      <c r="S138"/>
      <c r="T138"/>
      <c r="U138"/>
      <c r="V138"/>
    </row>
    <row r="139" spans="1:22" x14ac:dyDescent="0.3">
      <c r="A139" s="16" t="s">
        <v>147</v>
      </c>
      <c r="B139" s="17">
        <f>2757.36+955.22</f>
        <v>3712.58</v>
      </c>
      <c r="C139" s="50">
        <f>9000+2040</f>
        <v>11040</v>
      </c>
      <c r="D139" s="50">
        <f>5763.35+8447.21</f>
        <v>14210.56</v>
      </c>
      <c r="E139" s="112">
        <f>+D139/$D$150</f>
        <v>0.15274623723807126</v>
      </c>
      <c r="F139" s="112"/>
      <c r="G139" s="180">
        <f>15000+3900</f>
        <v>18900</v>
      </c>
      <c r="H139" s="142"/>
      <c r="I139" s="19" t="s">
        <v>95</v>
      </c>
      <c r="J139" s="20">
        <v>535.91999999999996</v>
      </c>
      <c r="K139" s="3">
        <v>1390</v>
      </c>
      <c r="L139" s="20">
        <v>1589</v>
      </c>
      <c r="M139" s="109">
        <f>+L139/$L$150</f>
        <v>0.23126182506185416</v>
      </c>
      <c r="N139" s="109"/>
      <c r="O139" s="178">
        <v>1500</v>
      </c>
      <c r="P139" s="157"/>
      <c r="Q139"/>
      <c r="R139"/>
      <c r="S139"/>
      <c r="T139"/>
      <c r="U139"/>
      <c r="V139"/>
    </row>
    <row r="140" spans="1:22" x14ac:dyDescent="0.3">
      <c r="A140" s="16" t="s">
        <v>96</v>
      </c>
      <c r="B140" s="17">
        <v>1572.12</v>
      </c>
      <c r="C140" s="50">
        <v>3000</v>
      </c>
      <c r="D140" s="50">
        <v>2984.88</v>
      </c>
      <c r="E140" s="112">
        <f>+D140/$D$150</f>
        <v>3.208382981438973E-2</v>
      </c>
      <c r="F140" s="112"/>
      <c r="G140" s="168">
        <v>3000</v>
      </c>
      <c r="H140" s="142"/>
      <c r="I140" s="19" t="s">
        <v>97</v>
      </c>
      <c r="J140" s="20">
        <v>23.24</v>
      </c>
      <c r="K140" s="3">
        <v>3000</v>
      </c>
      <c r="L140" s="20">
        <v>4202</v>
      </c>
      <c r="M140" s="109">
        <f>+L140/$L$150</f>
        <v>0.61155581429195172</v>
      </c>
      <c r="N140" s="109"/>
      <c r="O140" s="178"/>
      <c r="P140" s="157"/>
      <c r="Q140"/>
      <c r="R140"/>
      <c r="S140"/>
      <c r="T140"/>
      <c r="U140"/>
      <c r="V140"/>
    </row>
    <row r="141" spans="1:22" x14ac:dyDescent="0.3">
      <c r="A141" s="16" t="s">
        <v>98</v>
      </c>
      <c r="B141" s="17"/>
      <c r="C141" s="50">
        <v>500</v>
      </c>
      <c r="D141" s="50">
        <v>429</v>
      </c>
      <c r="E141" s="112">
        <f>+D141/$D$150</f>
        <v>4.6112282538571716E-3</v>
      </c>
      <c r="F141" s="112"/>
      <c r="G141" s="168">
        <v>500</v>
      </c>
      <c r="H141" s="142"/>
      <c r="I141" s="19" t="s">
        <v>28</v>
      </c>
      <c r="J141" s="20">
        <v>3300</v>
      </c>
      <c r="K141" s="3"/>
      <c r="L141" s="20"/>
      <c r="M141" s="109">
        <f>+L141/$L$150</f>
        <v>0</v>
      </c>
      <c r="N141" s="109"/>
      <c r="O141" s="178"/>
      <c r="P141" s="157"/>
      <c r="Q141"/>
      <c r="R141"/>
      <c r="S141"/>
      <c r="T141"/>
      <c r="U141"/>
      <c r="V141"/>
    </row>
    <row r="142" spans="1:22" x14ac:dyDescent="0.3">
      <c r="A142" s="16" t="s">
        <v>99</v>
      </c>
      <c r="B142" s="17">
        <v>18975.88</v>
      </c>
      <c r="C142" s="50">
        <f>3000+2700+0+8100+600+2000+0+5850+1500+0+2000</f>
        <v>25750</v>
      </c>
      <c r="D142" s="50">
        <f>180.76+7113.83+500+2165.17+472.6+2680.89+670.34+788.34+136.76</f>
        <v>14708.69</v>
      </c>
      <c r="E142" s="112">
        <f>+D142/$D$150</f>
        <v>0.15810052891661175</v>
      </c>
      <c r="F142" s="112"/>
      <c r="G142" s="50">
        <f>250+1000+500+2000+500+2500+500+800+150</f>
        <v>8200</v>
      </c>
      <c r="H142" s="143"/>
      <c r="I142" s="19" t="s">
        <v>100</v>
      </c>
      <c r="J142" s="20">
        <v>832</v>
      </c>
      <c r="K142" s="3">
        <v>1000</v>
      </c>
      <c r="L142" s="20">
        <v>1080</v>
      </c>
      <c r="M142" s="109">
        <f>+L142/$L$150</f>
        <v>0.15718236064619415</v>
      </c>
      <c r="N142" s="109"/>
      <c r="O142" s="178">
        <v>1200</v>
      </c>
      <c r="P142" s="153"/>
      <c r="Q142"/>
      <c r="R142"/>
      <c r="S142"/>
      <c r="T142"/>
      <c r="U142"/>
      <c r="V142"/>
    </row>
    <row r="143" spans="1:22" x14ac:dyDescent="0.3">
      <c r="A143" s="37"/>
      <c r="B143" s="17"/>
      <c r="C143" s="50">
        <v>0</v>
      </c>
      <c r="D143" s="50"/>
      <c r="E143" s="112"/>
      <c r="F143" s="112"/>
      <c r="G143" s="50"/>
      <c r="H143" s="143"/>
      <c r="I143" s="19" t="s">
        <v>65</v>
      </c>
      <c r="J143" s="20"/>
      <c r="K143" s="3"/>
      <c r="L143" s="20"/>
      <c r="M143" s="20"/>
      <c r="N143" s="109"/>
      <c r="O143" s="181"/>
      <c r="P143" s="153"/>
      <c r="Q143"/>
      <c r="R143"/>
      <c r="S143"/>
      <c r="T143"/>
      <c r="U143"/>
      <c r="V143"/>
    </row>
    <row r="144" spans="1:22" x14ac:dyDescent="0.3">
      <c r="A144" s="21" t="s">
        <v>101</v>
      </c>
      <c r="B144" s="36">
        <f>SUM(B139:B143)</f>
        <v>24260.58</v>
      </c>
      <c r="C144" s="36">
        <f>SUM(C139:C143)</f>
        <v>40290</v>
      </c>
      <c r="D144" s="36">
        <f>SUM(D139:D143)</f>
        <v>32333.129999999997</v>
      </c>
      <c r="E144" s="108">
        <f>+D144/$D$150</f>
        <v>0.3475418242229299</v>
      </c>
      <c r="F144" s="108"/>
      <c r="G144" s="36">
        <f>SUM(G139:G143)</f>
        <v>30600</v>
      </c>
      <c r="H144" s="144">
        <f>+G144/G$150</f>
        <v>0.38811800816823522</v>
      </c>
      <c r="I144" s="19" t="s">
        <v>18</v>
      </c>
      <c r="J144" s="20"/>
      <c r="K144" s="3">
        <v>1150</v>
      </c>
      <c r="L144" s="20"/>
      <c r="M144" s="20"/>
      <c r="N144" s="109"/>
      <c r="O144" s="181"/>
      <c r="P144" s="153"/>
      <c r="Q144"/>
      <c r="R144"/>
      <c r="S144"/>
      <c r="T144"/>
      <c r="U144"/>
      <c r="V144"/>
    </row>
    <row r="145" spans="1:22" x14ac:dyDescent="0.3">
      <c r="A145" s="37"/>
      <c r="B145" s="17"/>
      <c r="C145" s="50"/>
      <c r="D145" s="50"/>
      <c r="E145" s="112"/>
      <c r="F145" s="112"/>
      <c r="G145" s="50"/>
      <c r="H145" s="143"/>
      <c r="I145" s="19" t="s">
        <v>172</v>
      </c>
      <c r="J145" s="20"/>
      <c r="K145" s="3"/>
      <c r="L145" s="20"/>
      <c r="M145" s="20"/>
      <c r="N145" s="109"/>
      <c r="O145" s="181">
        <v>3500</v>
      </c>
      <c r="P145" s="153"/>
      <c r="Q145"/>
      <c r="R145"/>
      <c r="S145"/>
      <c r="T145"/>
      <c r="U145"/>
      <c r="V145"/>
    </row>
    <row r="146" spans="1:22" x14ac:dyDescent="0.3">
      <c r="A146" s="16" t="s">
        <v>15</v>
      </c>
      <c r="B146" s="17">
        <v>50788.45</v>
      </c>
      <c r="C146" s="50">
        <v>60240.37</v>
      </c>
      <c r="D146" s="17">
        <f>+C146/C$176*D$176</f>
        <v>60178.751106184187</v>
      </c>
      <c r="E146" s="112">
        <f>+D146/$D$150</f>
        <v>0.64684838550740109</v>
      </c>
      <c r="F146" s="112"/>
      <c r="G146" s="167">
        <v>47642</v>
      </c>
      <c r="H146" s="143"/>
      <c r="I146" s="19" t="s">
        <v>14</v>
      </c>
      <c r="J146" s="20">
        <v>1075</v>
      </c>
      <c r="K146" s="3">
        <v>1000</v>
      </c>
      <c r="L146" s="20"/>
      <c r="M146" s="20"/>
      <c r="N146" s="109"/>
      <c r="O146" s="3"/>
      <c r="P146" s="153"/>
      <c r="Q146"/>
      <c r="R146"/>
      <c r="S146"/>
      <c r="T146"/>
      <c r="U146"/>
      <c r="V146"/>
    </row>
    <row r="147" spans="1:22" x14ac:dyDescent="0.3">
      <c r="A147" s="16" t="s">
        <v>102</v>
      </c>
      <c r="B147" s="17">
        <v>31.08</v>
      </c>
      <c r="C147" s="50"/>
      <c r="D147" s="50">
        <v>521.9</v>
      </c>
      <c r="E147" s="112">
        <f>+D147/$D$150</f>
        <v>5.6097902696691324E-3</v>
      </c>
      <c r="F147" s="112"/>
      <c r="G147" s="168">
        <v>600</v>
      </c>
      <c r="H147" s="142"/>
      <c r="I147" s="19" t="s">
        <v>49</v>
      </c>
      <c r="J147" s="20">
        <v>1200</v>
      </c>
      <c r="K147" s="3"/>
      <c r="L147" s="20"/>
      <c r="M147" s="20"/>
      <c r="N147" s="109"/>
      <c r="O147" s="3"/>
      <c r="P147" s="153"/>
      <c r="Q147"/>
      <c r="R147"/>
      <c r="S147"/>
      <c r="T147"/>
      <c r="U147"/>
      <c r="V147"/>
    </row>
    <row r="148" spans="1:22" x14ac:dyDescent="0.3">
      <c r="A148" s="21" t="s">
        <v>103</v>
      </c>
      <c r="B148" s="36">
        <f>+B146+B147</f>
        <v>50819.53</v>
      </c>
      <c r="C148" s="36">
        <f>+C146+C147</f>
        <v>60240.37</v>
      </c>
      <c r="D148" s="36">
        <f>+D146+D147</f>
        <v>60700.651106184188</v>
      </c>
      <c r="E148" s="108">
        <f>+D148/$D$150</f>
        <v>0.65245817577707022</v>
      </c>
      <c r="F148" s="108"/>
      <c r="G148" s="36">
        <f>+G146+G147</f>
        <v>48242</v>
      </c>
      <c r="H148" s="144">
        <f>+G148/G$150</f>
        <v>0.61188199183176484</v>
      </c>
      <c r="I148" s="19"/>
      <c r="J148" s="20"/>
      <c r="K148" s="3"/>
      <c r="L148" s="20"/>
      <c r="M148" s="20"/>
      <c r="N148" s="109"/>
      <c r="O148" s="3"/>
      <c r="P148" s="153"/>
      <c r="Q148"/>
      <c r="R148"/>
      <c r="S148"/>
      <c r="T148"/>
      <c r="U148"/>
      <c r="V148"/>
    </row>
    <row r="149" spans="1:22" ht="16.2" thickBot="1" x14ac:dyDescent="0.35">
      <c r="A149" s="25"/>
      <c r="B149" s="17"/>
      <c r="C149" s="26"/>
      <c r="D149" s="26"/>
      <c r="E149" s="104"/>
      <c r="F149" s="104"/>
      <c r="G149" s="26"/>
      <c r="H149" s="132"/>
      <c r="I149" s="27"/>
      <c r="J149" s="28"/>
      <c r="K149" s="90"/>
      <c r="L149" s="20"/>
      <c r="M149" s="20"/>
      <c r="N149" s="109"/>
      <c r="O149" s="3"/>
      <c r="P149" s="153"/>
      <c r="Q149"/>
      <c r="R149"/>
      <c r="S149"/>
      <c r="T149"/>
      <c r="U149"/>
      <c r="V149"/>
    </row>
    <row r="150" spans="1:22" ht="16.2" thickBot="1" x14ac:dyDescent="0.35">
      <c r="A150" s="29" t="s">
        <v>104</v>
      </c>
      <c r="B150" s="79">
        <f>+B144+B148</f>
        <v>75080.11</v>
      </c>
      <c r="C150" s="30">
        <f>+C144+C148</f>
        <v>100530.37</v>
      </c>
      <c r="D150" s="30">
        <f>+D144+D148</f>
        <v>93033.781106184178</v>
      </c>
      <c r="E150" s="105">
        <f>+D150/C150</f>
        <v>0.92542961003907753</v>
      </c>
      <c r="F150" s="105">
        <f>+D150/$D$173</f>
        <v>0.10629418838029307</v>
      </c>
      <c r="G150" s="30">
        <f>+G144+G148</f>
        <v>78842</v>
      </c>
      <c r="H150" s="105">
        <f>+G150/$G$173</f>
        <v>9.130515344528084E-2</v>
      </c>
      <c r="I150" s="40"/>
      <c r="J150" s="30">
        <f>SUM(J139:J148)</f>
        <v>6966.16</v>
      </c>
      <c r="K150" s="91">
        <f>SUM(K139:K148)</f>
        <v>7540</v>
      </c>
      <c r="L150" s="30">
        <f>SUM(L139:L148)</f>
        <v>6871</v>
      </c>
      <c r="M150" s="105">
        <f>+L150/K150</f>
        <v>0.91127320954907165</v>
      </c>
      <c r="N150" s="105">
        <f>+L150/L$173</f>
        <v>8.8152415436482251E-3</v>
      </c>
      <c r="O150" s="30">
        <f>SUM(O139:O148)</f>
        <v>6200</v>
      </c>
      <c r="P150" s="154">
        <f>+O150/$O$173</f>
        <v>7.1800810654313839E-3</v>
      </c>
      <c r="Q150" s="32"/>
      <c r="R150"/>
      <c r="S150"/>
      <c r="T150"/>
      <c r="U150"/>
      <c r="V150"/>
    </row>
    <row r="151" spans="1:22" ht="16.2" thickBot="1" x14ac:dyDescent="0.35">
      <c r="A151" s="33"/>
      <c r="B151" s="34"/>
      <c r="C151" s="34"/>
      <c r="D151" s="34"/>
      <c r="E151" s="106"/>
      <c r="F151" s="106"/>
      <c r="G151" s="34"/>
      <c r="H151" s="106"/>
      <c r="I151" s="35"/>
      <c r="J151" s="34"/>
      <c r="K151" s="34"/>
      <c r="L151" s="34"/>
      <c r="M151" s="34"/>
      <c r="N151" s="106"/>
      <c r="O151" s="34"/>
      <c r="P151" s="161"/>
      <c r="Q151"/>
      <c r="R151"/>
      <c r="S151"/>
      <c r="T151"/>
      <c r="U151"/>
      <c r="V151"/>
    </row>
    <row r="152" spans="1:22" ht="16.8" thickTop="1" thickBot="1" x14ac:dyDescent="0.35">
      <c r="A152" s="196" t="s">
        <v>105</v>
      </c>
      <c r="B152" s="197"/>
      <c r="C152" s="197"/>
      <c r="D152" s="197"/>
      <c r="E152" s="197"/>
      <c r="F152" s="197"/>
      <c r="G152" s="198"/>
      <c r="H152" s="198"/>
      <c r="I152" s="198"/>
      <c r="J152" s="198"/>
      <c r="K152" s="198"/>
      <c r="L152" s="198"/>
      <c r="M152" s="198"/>
      <c r="N152" s="198"/>
      <c r="O152" s="198"/>
      <c r="P152" s="199"/>
      <c r="Q152"/>
      <c r="R152"/>
      <c r="S152"/>
      <c r="T152"/>
      <c r="U152"/>
      <c r="V152"/>
    </row>
    <row r="153" spans="1:22" x14ac:dyDescent="0.3">
      <c r="A153" s="48"/>
      <c r="B153" s="49"/>
      <c r="C153" s="44"/>
      <c r="D153" s="44"/>
      <c r="E153" s="111"/>
      <c r="F153" s="111"/>
      <c r="G153" s="44"/>
      <c r="H153" s="128"/>
      <c r="I153" s="15"/>
      <c r="J153" s="14"/>
      <c r="K153" s="85"/>
      <c r="L153" s="14"/>
      <c r="M153" s="14"/>
      <c r="N153" s="99"/>
      <c r="O153" s="89"/>
      <c r="P153" s="148"/>
      <c r="Q153"/>
      <c r="R153"/>
      <c r="S153"/>
      <c r="T153"/>
      <c r="U153"/>
      <c r="V153"/>
    </row>
    <row r="154" spans="1:22" x14ac:dyDescent="0.3">
      <c r="A154" s="16" t="s">
        <v>106</v>
      </c>
      <c r="B154" s="17">
        <v>5468.23</v>
      </c>
      <c r="C154" s="50">
        <v>6000</v>
      </c>
      <c r="D154" s="50">
        <f>274.2+7278.17-861.07</f>
        <v>6691.3</v>
      </c>
      <c r="E154" s="112">
        <f>+D154/$D$168</f>
        <v>3.2392684385930702E-2</v>
      </c>
      <c r="F154" s="112"/>
      <c r="G154" s="168">
        <v>6500</v>
      </c>
      <c r="H154" s="142"/>
      <c r="I154" s="19" t="s">
        <v>143</v>
      </c>
      <c r="J154" s="20">
        <v>1738.81</v>
      </c>
      <c r="K154" s="92"/>
      <c r="L154" s="20">
        <v>2066.16</v>
      </c>
      <c r="M154" s="109">
        <f>+L154/$L$168</f>
        <v>2.1996059113929805E-2</v>
      </c>
      <c r="N154" s="109"/>
      <c r="O154" s="3"/>
      <c r="P154" s="157"/>
      <c r="Q154"/>
      <c r="R154"/>
      <c r="S154"/>
      <c r="T154"/>
      <c r="U154"/>
      <c r="V154"/>
    </row>
    <row r="155" spans="1:22" x14ac:dyDescent="0.3">
      <c r="A155" s="16" t="s">
        <v>107</v>
      </c>
      <c r="B155" s="17">
        <v>16809.599999999999</v>
      </c>
      <c r="C155" s="50">
        <v>20500</v>
      </c>
      <c r="D155" s="50">
        <v>28728.7</v>
      </c>
      <c r="E155" s="112">
        <f>+D155/$D$168</f>
        <v>0.13907607070645275</v>
      </c>
      <c r="F155" s="112"/>
      <c r="G155" s="168">
        <v>19000</v>
      </c>
      <c r="H155" s="142"/>
      <c r="I155" s="19"/>
      <c r="J155" s="20"/>
      <c r="K155" s="92"/>
      <c r="L155" s="20"/>
      <c r="M155" s="109"/>
      <c r="N155" s="109"/>
      <c r="O155" s="3"/>
      <c r="P155" s="157"/>
      <c r="Q155"/>
      <c r="R155"/>
      <c r="S155"/>
      <c r="T155"/>
      <c r="U155"/>
      <c r="V155"/>
    </row>
    <row r="156" spans="1:22" x14ac:dyDescent="0.3">
      <c r="A156" s="21" t="s">
        <v>108</v>
      </c>
      <c r="B156" s="36">
        <f>+B154+B155</f>
        <v>22277.829999999998</v>
      </c>
      <c r="C156" s="36">
        <f>+C154+C155</f>
        <v>26500</v>
      </c>
      <c r="D156" s="36">
        <f>+D154+D155</f>
        <v>35420</v>
      </c>
      <c r="E156" s="108">
        <f>+D156/$D$168</f>
        <v>0.17146875509238346</v>
      </c>
      <c r="F156" s="108"/>
      <c r="G156" s="36">
        <f>+G154+G155</f>
        <v>25500</v>
      </c>
      <c r="H156" s="144">
        <f>+G156/G$168</f>
        <v>0.23740585228700972</v>
      </c>
      <c r="I156" s="19" t="s">
        <v>140</v>
      </c>
      <c r="J156" s="20">
        <v>469</v>
      </c>
      <c r="K156" s="92">
        <v>22500</v>
      </c>
      <c r="L156" s="20">
        <v>22573</v>
      </c>
      <c r="M156" s="109">
        <f t="shared" ref="M156:M165" si="3">+L156/$L$168</f>
        <v>0.24030909628428465</v>
      </c>
      <c r="N156" s="109"/>
      <c r="O156" s="3"/>
      <c r="P156" s="157"/>
      <c r="Q156"/>
      <c r="R156"/>
      <c r="S156"/>
      <c r="T156"/>
      <c r="U156"/>
      <c r="V156"/>
    </row>
    <row r="157" spans="1:22" x14ac:dyDescent="0.3">
      <c r="A157" s="16"/>
      <c r="B157" s="17"/>
      <c r="C157" s="50"/>
      <c r="D157" s="50"/>
      <c r="E157" s="112"/>
      <c r="F157" s="112"/>
      <c r="G157" s="50"/>
      <c r="H157" s="143"/>
      <c r="I157" s="19" t="s">
        <v>109</v>
      </c>
      <c r="J157" s="20"/>
      <c r="K157" s="92">
        <v>29800</v>
      </c>
      <c r="L157" s="20">
        <f>9596.35+4721.75+716.08</f>
        <v>15034.18</v>
      </c>
      <c r="M157" s="109">
        <f t="shared" si="3"/>
        <v>0.16005184110110604</v>
      </c>
      <c r="N157" s="109"/>
      <c r="O157" s="3"/>
      <c r="P157" s="157"/>
      <c r="Q157"/>
      <c r="R157"/>
      <c r="S157"/>
      <c r="T157"/>
      <c r="U157"/>
      <c r="V157"/>
    </row>
    <row r="158" spans="1:22" x14ac:dyDescent="0.3">
      <c r="A158" s="16" t="s">
        <v>110</v>
      </c>
      <c r="B158" s="17">
        <v>27507.15</v>
      </c>
      <c r="C158" s="50">
        <v>22700</v>
      </c>
      <c r="D158" s="50">
        <v>20054.72</v>
      </c>
      <c r="E158" s="112">
        <f>+D158/$D$168</f>
        <v>9.7085202488038522E-2</v>
      </c>
      <c r="F158" s="112"/>
      <c r="G158" s="168">
        <v>11000</v>
      </c>
      <c r="H158" s="142"/>
      <c r="I158" s="19" t="s">
        <v>111</v>
      </c>
      <c r="J158" s="20">
        <v>28621</v>
      </c>
      <c r="K158" s="92"/>
      <c r="L158" s="20">
        <v>3376.01</v>
      </c>
      <c r="M158" s="109">
        <f t="shared" si="3"/>
        <v>3.5940544550866427E-2</v>
      </c>
      <c r="N158" s="109"/>
      <c r="O158" s="3"/>
      <c r="P158" s="157"/>
      <c r="Q158"/>
      <c r="R158"/>
      <c r="S158"/>
      <c r="T158"/>
      <c r="U158"/>
      <c r="V158"/>
    </row>
    <row r="159" spans="1:22" x14ac:dyDescent="0.3">
      <c r="A159" s="16" t="s">
        <v>112</v>
      </c>
      <c r="B159" s="17">
        <v>5614.23</v>
      </c>
      <c r="C159" s="50">
        <v>11000</v>
      </c>
      <c r="D159" s="50">
        <v>8231.8799999999992</v>
      </c>
      <c r="E159" s="112">
        <f>+D159/$D$168</f>
        <v>3.9850655439579032E-2</v>
      </c>
      <c r="F159" s="112"/>
      <c r="G159" s="168">
        <v>6500</v>
      </c>
      <c r="H159" s="142"/>
      <c r="I159" s="19" t="s">
        <v>113</v>
      </c>
      <c r="J159" s="20">
        <v>9968.18</v>
      </c>
      <c r="K159" s="92">
        <f>3000+8000</f>
        <v>11000</v>
      </c>
      <c r="L159" s="20">
        <f>105+17770.69</f>
        <v>17875.689999999999</v>
      </c>
      <c r="M159" s="109">
        <f t="shared" si="3"/>
        <v>0.19030217114951595</v>
      </c>
      <c r="N159" s="109"/>
      <c r="O159" s="172">
        <v>7500</v>
      </c>
      <c r="P159" s="157"/>
      <c r="Q159"/>
      <c r="R159"/>
      <c r="S159"/>
      <c r="T159"/>
      <c r="U159"/>
      <c r="V159"/>
    </row>
    <row r="160" spans="1:22" x14ac:dyDescent="0.3">
      <c r="A160" s="16" t="s">
        <v>114</v>
      </c>
      <c r="B160" s="17">
        <v>13555.55</v>
      </c>
      <c r="C160" s="50">
        <v>12300</v>
      </c>
      <c r="D160" s="50">
        <v>14096.69</v>
      </c>
      <c r="E160" s="112">
        <f>+D160/$D$168</f>
        <v>6.8242289249668298E-2</v>
      </c>
      <c r="F160" s="112"/>
      <c r="G160" s="168">
        <v>15000</v>
      </c>
      <c r="H160" s="142"/>
      <c r="I160" s="19" t="s">
        <v>165</v>
      </c>
      <c r="J160" s="20">
        <v>3000</v>
      </c>
      <c r="K160" s="92"/>
      <c r="L160" s="20">
        <f>5834+666.66</f>
        <v>6500.66</v>
      </c>
      <c r="M160" s="109">
        <f t="shared" si="3"/>
        <v>6.9205144635245547E-2</v>
      </c>
      <c r="N160" s="109"/>
      <c r="O160" s="172"/>
      <c r="P160" s="157"/>
      <c r="Q160"/>
      <c r="R160"/>
      <c r="S160"/>
      <c r="T160"/>
      <c r="U160"/>
      <c r="V160"/>
    </row>
    <row r="161" spans="1:22" x14ac:dyDescent="0.3">
      <c r="A161" s="16" t="s">
        <v>17</v>
      </c>
      <c r="B161" s="17">
        <v>21252.58</v>
      </c>
      <c r="C161" s="50">
        <v>15000</v>
      </c>
      <c r="D161" s="50">
        <v>34965.769999999997</v>
      </c>
      <c r="E161" s="112">
        <f>+D161/$D$168</f>
        <v>0.16926982080029948</v>
      </c>
      <c r="F161" s="112"/>
      <c r="G161" s="168">
        <v>10000</v>
      </c>
      <c r="H161" s="142"/>
      <c r="I161" s="19" t="s">
        <v>116</v>
      </c>
      <c r="J161" s="20">
        <v>3199.25</v>
      </c>
      <c r="K161" s="92">
        <v>4000</v>
      </c>
      <c r="L161" s="20">
        <v>4669.97</v>
      </c>
      <c r="M161" s="109">
        <f t="shared" si="3"/>
        <v>4.9715867203062099E-2</v>
      </c>
      <c r="N161" s="109"/>
      <c r="O161" s="172">
        <v>5500</v>
      </c>
      <c r="P161" s="157"/>
      <c r="Q161"/>
      <c r="R161"/>
      <c r="S161"/>
      <c r="T161"/>
      <c r="U161"/>
      <c r="V161"/>
    </row>
    <row r="162" spans="1:22" x14ac:dyDescent="0.3">
      <c r="A162" s="21" t="s">
        <v>115</v>
      </c>
      <c r="B162" s="36">
        <f>+SUM(B158:B161)</f>
        <v>67929.510000000009</v>
      </c>
      <c r="C162" s="36">
        <f>+SUM(C158:C161)</f>
        <v>61000</v>
      </c>
      <c r="D162" s="36">
        <f>+SUM(D158:D161)</f>
        <v>77349.06</v>
      </c>
      <c r="E162" s="108">
        <f>+D162/$D$168</f>
        <v>0.37444796797758534</v>
      </c>
      <c r="F162" s="108"/>
      <c r="G162" s="36">
        <f>+SUM(G158:G161)</f>
        <v>42500</v>
      </c>
      <c r="H162" s="144">
        <f>+G162/G$168</f>
        <v>0.3956764204783495</v>
      </c>
      <c r="I162" s="19" t="s">
        <v>117</v>
      </c>
      <c r="J162" s="20">
        <v>0.73124999999999996</v>
      </c>
      <c r="K162" s="92"/>
      <c r="L162" s="20">
        <v>125.48</v>
      </c>
      <c r="M162" s="109">
        <f t="shared" si="3"/>
        <v>1.3358430603708873E-3</v>
      </c>
      <c r="N162" s="109"/>
      <c r="O162" s="172"/>
      <c r="P162" s="157"/>
      <c r="Q162"/>
      <c r="R162"/>
      <c r="S162"/>
      <c r="T162"/>
      <c r="U162"/>
      <c r="V162"/>
    </row>
    <row r="163" spans="1:22" x14ac:dyDescent="0.3">
      <c r="A163" s="37"/>
      <c r="B163" s="17"/>
      <c r="C163" s="50"/>
      <c r="D163" s="50"/>
      <c r="E163" s="112"/>
      <c r="F163" s="112"/>
      <c r="G163" s="50"/>
      <c r="H163" s="143"/>
      <c r="I163" s="19" t="s">
        <v>20</v>
      </c>
      <c r="J163" s="20">
        <v>8272.77</v>
      </c>
      <c r="K163" s="92">
        <v>5000</v>
      </c>
      <c r="L163" s="20">
        <v>10665.7</v>
      </c>
      <c r="M163" s="109">
        <f t="shared" si="3"/>
        <v>0.11354559554508904</v>
      </c>
      <c r="N163" s="109"/>
      <c r="O163" s="178">
        <v>10000</v>
      </c>
      <c r="P163" s="157"/>
      <c r="Q163"/>
      <c r="R163"/>
      <c r="S163"/>
      <c r="T163"/>
      <c r="U163"/>
      <c r="V163"/>
    </row>
    <row r="164" spans="1:22" x14ac:dyDescent="0.3">
      <c r="A164" s="16" t="s">
        <v>15</v>
      </c>
      <c r="B164" s="17">
        <v>74042.53</v>
      </c>
      <c r="C164" s="50">
        <v>93895.23</v>
      </c>
      <c r="D164" s="17">
        <f>+C164/C$176*D$176</f>
        <v>93799.186097759986</v>
      </c>
      <c r="E164" s="112">
        <f>+D164/$D$168</f>
        <v>0.4540832769300312</v>
      </c>
      <c r="F164" s="112"/>
      <c r="G164" s="167">
        <v>39411</v>
      </c>
      <c r="H164" s="143"/>
      <c r="I164" s="19" t="s">
        <v>14</v>
      </c>
      <c r="J164" s="20">
        <v>6053.27</v>
      </c>
      <c r="K164" s="92"/>
      <c r="L164" s="20">
        <v>5.58</v>
      </c>
      <c r="M164" s="109">
        <f t="shared" si="3"/>
        <v>5.9403923150060172E-5</v>
      </c>
      <c r="N164" s="109"/>
      <c r="O164" s="172">
        <v>4139</v>
      </c>
      <c r="P164" s="157"/>
      <c r="Q164"/>
      <c r="R164"/>
      <c r="S164"/>
      <c r="T164"/>
      <c r="U164"/>
      <c r="V164"/>
    </row>
    <row r="165" spans="1:22" x14ac:dyDescent="0.3">
      <c r="A165" s="16"/>
      <c r="B165" s="17"/>
      <c r="C165" s="50"/>
      <c r="D165" s="50"/>
      <c r="E165" s="112"/>
      <c r="F165" s="112"/>
      <c r="G165" s="50"/>
      <c r="H165" s="143"/>
      <c r="I165" s="19" t="s">
        <v>164</v>
      </c>
      <c r="J165" s="20">
        <v>250</v>
      </c>
      <c r="K165" s="92"/>
      <c r="L165" s="20">
        <v>11040.76</v>
      </c>
      <c r="M165" s="109">
        <f t="shared" si="3"/>
        <v>0.11753843343337964</v>
      </c>
      <c r="N165" s="109"/>
      <c r="O165" s="3"/>
      <c r="P165" s="157"/>
      <c r="Q165"/>
      <c r="R165"/>
      <c r="S165"/>
      <c r="T165"/>
      <c r="U165"/>
      <c r="V165"/>
    </row>
    <row r="166" spans="1:22" x14ac:dyDescent="0.3">
      <c r="A166" s="21" t="s">
        <v>118</v>
      </c>
      <c r="B166" s="36">
        <f>+B164+B165</f>
        <v>74042.53</v>
      </c>
      <c r="C166" s="36">
        <f>+C164+C165</f>
        <v>93895.23</v>
      </c>
      <c r="D166" s="36">
        <f>+D164+D165</f>
        <v>93799.186097759986</v>
      </c>
      <c r="E166" s="108"/>
      <c r="F166" s="108"/>
      <c r="G166" s="36">
        <f>+G164+G165</f>
        <v>39411</v>
      </c>
      <c r="H166" s="144">
        <f>+G166/G$168</f>
        <v>0.36691772723464078</v>
      </c>
      <c r="I166" s="19"/>
      <c r="J166" s="20"/>
      <c r="K166" s="92"/>
      <c r="L166" s="20"/>
      <c r="M166" s="20"/>
      <c r="N166" s="109"/>
      <c r="O166" s="3"/>
      <c r="P166" s="157"/>
      <c r="Q166"/>
      <c r="R166"/>
      <c r="S166"/>
      <c r="T166"/>
      <c r="U166"/>
      <c r="V166"/>
    </row>
    <row r="167" spans="1:22" ht="16.2" thickBot="1" x14ac:dyDescent="0.35">
      <c r="A167" s="25"/>
      <c r="B167" s="26"/>
      <c r="C167" s="54"/>
      <c r="D167" s="54"/>
      <c r="E167" s="114"/>
      <c r="F167" s="114"/>
      <c r="G167" s="54"/>
      <c r="H167" s="132"/>
      <c r="I167" s="27"/>
      <c r="J167" s="28"/>
      <c r="K167" s="84"/>
      <c r="L167" s="28"/>
      <c r="M167" s="28"/>
      <c r="N167" s="113"/>
      <c r="O167" s="90"/>
      <c r="P167" s="149"/>
      <c r="Q167"/>
      <c r="R167"/>
      <c r="S167"/>
      <c r="T167"/>
      <c r="U167"/>
      <c r="V167"/>
    </row>
    <row r="168" spans="1:22" ht="16.2" thickBot="1" x14ac:dyDescent="0.35">
      <c r="A168" s="29" t="s">
        <v>119</v>
      </c>
      <c r="B168" s="30">
        <f>+B156+B162+B166</f>
        <v>164249.87</v>
      </c>
      <c r="C168" s="30">
        <f>+C156+C162+C166</f>
        <v>181395.22999999998</v>
      </c>
      <c r="D168" s="30">
        <f>+D156+D162+D166</f>
        <v>206568.24609775998</v>
      </c>
      <c r="E168" s="105">
        <f>+D168/C168</f>
        <v>1.1387744104283228</v>
      </c>
      <c r="F168" s="105">
        <f>+D168/$D$173</f>
        <v>0.23601108976793489</v>
      </c>
      <c r="G168" s="30">
        <f>+G156+G162+G166</f>
        <v>107411</v>
      </c>
      <c r="H168" s="105">
        <f>+G168/$G$173</f>
        <v>0.12439027214823394</v>
      </c>
      <c r="I168" s="40"/>
      <c r="J168" s="30">
        <f>SUM(J154:J166)</f>
        <v>61573.01125000001</v>
      </c>
      <c r="K168" s="91">
        <f>SUM(K154:K166)</f>
        <v>72300</v>
      </c>
      <c r="L168" s="118">
        <f>SUM(L154:L166)</f>
        <v>93933.189999999988</v>
      </c>
      <c r="M168" s="166">
        <f>+L168/K168</f>
        <v>1.2992142461964038</v>
      </c>
      <c r="N168" s="105">
        <f>+L168/L$173</f>
        <v>0.12051284511940065</v>
      </c>
      <c r="O168" s="30">
        <f>SUM(O154:O166)</f>
        <v>27139</v>
      </c>
      <c r="P168" s="154">
        <f>+O168/$O$173</f>
        <v>3.1429067747539084E-2</v>
      </c>
      <c r="Q168" s="32"/>
      <c r="R168"/>
      <c r="S168" s="96"/>
      <c r="T168"/>
      <c r="U168"/>
      <c r="V168" s="96"/>
    </row>
    <row r="169" spans="1:22" x14ac:dyDescent="0.3">
      <c r="A169" s="48"/>
      <c r="B169" s="49"/>
      <c r="C169" s="44"/>
      <c r="D169" s="44"/>
      <c r="E169" s="111"/>
      <c r="F169" s="111"/>
      <c r="G169" s="44"/>
      <c r="H169" s="135"/>
      <c r="I169" s="59"/>
      <c r="J169" s="14"/>
      <c r="K169" s="60"/>
      <c r="L169" s="119"/>
      <c r="M169" s="49"/>
      <c r="N169" s="122"/>
      <c r="O169" s="119"/>
      <c r="P169" s="141"/>
      <c r="Q169"/>
      <c r="R169"/>
      <c r="S169"/>
      <c r="T169"/>
      <c r="U169"/>
      <c r="V169"/>
    </row>
    <row r="170" spans="1:22" x14ac:dyDescent="0.3">
      <c r="A170" s="61" t="s">
        <v>120</v>
      </c>
      <c r="B170" s="38"/>
      <c r="C170" s="50"/>
      <c r="D170" s="50"/>
      <c r="E170" s="112"/>
      <c r="F170" s="112"/>
      <c r="G170" s="50"/>
      <c r="H170" s="136"/>
      <c r="I170" s="16"/>
      <c r="J170" s="17"/>
      <c r="K170" s="18"/>
      <c r="L170" s="62"/>
      <c r="M170" s="62"/>
      <c r="N170" s="101"/>
      <c r="O170" s="83"/>
      <c r="P170" s="143"/>
      <c r="Q170"/>
      <c r="R170"/>
      <c r="S170"/>
      <c r="T170"/>
      <c r="U170"/>
      <c r="V170" s="96"/>
    </row>
    <row r="171" spans="1:22" x14ac:dyDescent="0.3">
      <c r="A171" s="61" t="s">
        <v>134</v>
      </c>
      <c r="B171" s="38"/>
      <c r="C171" s="50"/>
      <c r="D171" s="17"/>
      <c r="E171" s="112"/>
      <c r="F171" s="112">
        <f>+D171/$D$173</f>
        <v>0</v>
      </c>
      <c r="G171" s="97"/>
      <c r="H171" s="137"/>
      <c r="I171" s="16"/>
      <c r="J171" s="62"/>
      <c r="K171" s="18"/>
      <c r="L171" s="62"/>
      <c r="M171" s="62"/>
      <c r="N171" s="101"/>
      <c r="O171" s="125"/>
      <c r="P171" s="142"/>
      <c r="Q171"/>
      <c r="R171"/>
      <c r="S171"/>
      <c r="T171"/>
      <c r="U171"/>
      <c r="V171"/>
    </row>
    <row r="172" spans="1:22" ht="16.2" thickBot="1" x14ac:dyDescent="0.35">
      <c r="A172" s="25"/>
      <c r="B172" s="26"/>
      <c r="C172" s="54"/>
      <c r="D172" s="54"/>
      <c r="E172" s="114"/>
      <c r="F172" s="114"/>
      <c r="G172" s="54"/>
      <c r="H172" s="138"/>
      <c r="I172" s="63"/>
      <c r="J172" s="64"/>
      <c r="K172" s="65"/>
      <c r="L172" s="64"/>
      <c r="M172" s="64"/>
      <c r="N172" s="104"/>
      <c r="O172" s="126"/>
      <c r="P172" s="155"/>
      <c r="Q172"/>
      <c r="R172"/>
      <c r="S172"/>
      <c r="T172"/>
      <c r="U172"/>
      <c r="V172"/>
    </row>
    <row r="173" spans="1:22" ht="16.2" thickBot="1" x14ac:dyDescent="0.35">
      <c r="A173" s="29" t="s">
        <v>121</v>
      </c>
      <c r="B173" s="66">
        <f>+B20+B49+B66+B84+B98+B118+B135+B150+B168-0.01</f>
        <v>598107.33000000007</v>
      </c>
      <c r="C173" s="66">
        <f>+C20+C49+C66+C84+C98+C118+C135+C150+C168+C171</f>
        <v>881405</v>
      </c>
      <c r="D173" s="66">
        <f>+D20+D49+D66+D84+D98+D118+D135+D150+D168+D171</f>
        <v>875248.05</v>
      </c>
      <c r="E173" s="105">
        <f>+D173/C173</f>
        <v>0.99301461870536256</v>
      </c>
      <c r="F173" s="120">
        <f>+D173/D$173</f>
        <v>1</v>
      </c>
      <c r="G173" s="68">
        <f>+G20+G49+G66+G84+G98+G118+G135+G150+G168+G171</f>
        <v>863500</v>
      </c>
      <c r="H173" s="105">
        <f>+G173/$G$173</f>
        <v>1</v>
      </c>
      <c r="I173" s="29" t="s">
        <v>122</v>
      </c>
      <c r="J173" s="67">
        <f>+J20+J49+J66+J84+J98+J118+J135+J150+J168-0.01</f>
        <v>634943.4212499999</v>
      </c>
      <c r="K173" s="68">
        <f>+K20+K49+K66+K84+K98+K118+K135+K150+K168</f>
        <v>881405</v>
      </c>
      <c r="L173" s="67">
        <f>+L20+L49+L66+L84+L98+L118+L135+L150+L168+L171</f>
        <v>779445.46</v>
      </c>
      <c r="M173" s="105">
        <f>+L173/K173</f>
        <v>0.88432157748140749</v>
      </c>
      <c r="N173" s="160">
        <f>+L173/L$173</f>
        <v>1</v>
      </c>
      <c r="O173" s="68">
        <f>+O20+O49+O66+O84+O98+O118+O135+O150+O168+O171</f>
        <v>863500</v>
      </c>
      <c r="P173" s="154">
        <f>+O173/$O$173</f>
        <v>1</v>
      </c>
      <c r="Q173"/>
      <c r="R173"/>
      <c r="S173"/>
      <c r="T173"/>
      <c r="U173"/>
      <c r="V173"/>
    </row>
    <row r="174" spans="1:22" ht="16.2" thickBot="1" x14ac:dyDescent="0.35">
      <c r="Q174"/>
      <c r="R174"/>
      <c r="S174"/>
      <c r="T174"/>
      <c r="U174"/>
      <c r="V174"/>
    </row>
    <row r="175" spans="1:22" ht="16.2" thickBot="1" x14ac:dyDescent="0.35">
      <c r="A175" s="69"/>
      <c r="B175" s="70"/>
      <c r="C175" s="70"/>
      <c r="D175" s="70"/>
      <c r="E175" s="115"/>
      <c r="F175" s="115"/>
      <c r="G175" s="70"/>
      <c r="H175" s="115"/>
      <c r="I175" s="76" t="s">
        <v>123</v>
      </c>
      <c r="J175" s="77">
        <f>+J173-B173</f>
        <v>36836.091249999823</v>
      </c>
      <c r="K175" s="77">
        <f>+K173-C173</f>
        <v>0</v>
      </c>
      <c r="L175" s="77">
        <f>+L173-D173</f>
        <v>-95802.590000000084</v>
      </c>
      <c r="M175" s="77"/>
      <c r="N175" s="123"/>
      <c r="O175" s="78">
        <f>+O173-G173</f>
        <v>0</v>
      </c>
      <c r="P175" s="115"/>
    </row>
    <row r="176" spans="1:22" x14ac:dyDescent="0.3">
      <c r="A176" s="69" t="s">
        <v>134</v>
      </c>
      <c r="B176" s="70"/>
      <c r="C176" s="70">
        <f>+C16+C30+C42+C62+C80+C94+C114+C131+C146+C164</f>
        <v>322500</v>
      </c>
      <c r="D176" s="70">
        <f>321698.12+472</f>
        <v>322170.12</v>
      </c>
      <c r="E176" s="70"/>
      <c r="F176" s="115"/>
      <c r="G176" s="70">
        <f>+G16+G30+G42+G62+G80+G94+G114+G131+G146+G164</f>
        <v>305000</v>
      </c>
      <c r="H176" s="115"/>
      <c r="K176" s="3"/>
      <c r="L176" s="3"/>
      <c r="M176" s="3"/>
      <c r="N176" s="98"/>
      <c r="O176" s="3"/>
      <c r="P176" s="115"/>
      <c r="V176" s="3"/>
    </row>
    <row r="177" spans="1:16" x14ac:dyDescent="0.3">
      <c r="A177" s="69"/>
      <c r="B177" s="70"/>
      <c r="C177" s="71">
        <f>+C164+C146+C131+C114+C94+C80+C62+C42+C30+C16</f>
        <v>322500</v>
      </c>
      <c r="D177" s="87"/>
      <c r="E177" s="116"/>
      <c r="F177" s="116"/>
      <c r="G177" s="71">
        <f>+G16+G30+G42+G62+G80+G94+G114+G131+G146+G164</f>
        <v>305000</v>
      </c>
      <c r="H177" s="139"/>
      <c r="J177" s="94"/>
      <c r="K177" s="3"/>
      <c r="L177" s="3"/>
      <c r="M177" s="3"/>
      <c r="N177" s="98"/>
      <c r="O177" s="3"/>
      <c r="P177" s="139"/>
    </row>
    <row r="178" spans="1:16" x14ac:dyDescent="0.3">
      <c r="A178" s="69"/>
      <c r="B178" s="70"/>
      <c r="C178" s="70"/>
      <c r="D178" s="70"/>
      <c r="E178" s="115"/>
      <c r="F178" s="115"/>
      <c r="G178" s="70"/>
      <c r="H178" s="115"/>
      <c r="L178" s="72"/>
      <c r="M178" s="72"/>
      <c r="P178" s="115"/>
    </row>
    <row r="179" spans="1:16" x14ac:dyDescent="0.3">
      <c r="A179" s="69"/>
      <c r="B179" s="70"/>
      <c r="C179" s="73"/>
      <c r="D179" s="73"/>
      <c r="E179" s="117"/>
      <c r="F179" s="117"/>
      <c r="G179" s="73"/>
      <c r="H179" s="117"/>
      <c r="L179" s="72"/>
      <c r="M179" s="72"/>
      <c r="P179" s="117"/>
    </row>
    <row r="180" spans="1:16" x14ac:dyDescent="0.3">
      <c r="A180" s="69"/>
      <c r="B180" s="70"/>
      <c r="C180" s="70"/>
      <c r="D180" s="70"/>
      <c r="E180" s="115"/>
      <c r="F180" s="115"/>
      <c r="G180" s="70"/>
      <c r="H180" s="115"/>
      <c r="L180" s="72"/>
      <c r="M180" s="72"/>
      <c r="O180" s="72"/>
      <c r="P180" s="115"/>
    </row>
    <row r="181" spans="1:16" x14ac:dyDescent="0.3">
      <c r="A181" s="69"/>
      <c r="B181" s="70"/>
      <c r="C181" s="70"/>
      <c r="D181" s="70"/>
      <c r="E181" s="115"/>
      <c r="F181" s="115"/>
      <c r="G181" s="70"/>
      <c r="H181" s="70"/>
      <c r="L181" s="72"/>
      <c r="M181" s="72"/>
      <c r="O181" s="72"/>
      <c r="P181" s="115"/>
    </row>
    <row r="182" spans="1:16" x14ac:dyDescent="0.3">
      <c r="A182" s="69"/>
      <c r="B182" s="70"/>
      <c r="C182" s="70"/>
      <c r="D182" s="70"/>
      <c r="E182" s="115"/>
      <c r="F182" s="115"/>
      <c r="G182" s="70"/>
      <c r="H182" s="115"/>
      <c r="L182" s="72"/>
      <c r="M182" s="72"/>
      <c r="O182" s="72"/>
      <c r="P182" s="115"/>
    </row>
    <row r="183" spans="1:16" x14ac:dyDescent="0.3">
      <c r="A183" s="69"/>
      <c r="G183" s="70"/>
      <c r="H183" s="115"/>
      <c r="P183" s="115"/>
    </row>
    <row r="184" spans="1:16" x14ac:dyDescent="0.3">
      <c r="A184" s="69"/>
      <c r="B184" s="70"/>
      <c r="C184" s="70"/>
      <c r="D184" s="70"/>
      <c r="E184" s="115"/>
      <c r="F184" s="115"/>
      <c r="G184" s="70"/>
      <c r="H184" s="115"/>
      <c r="P184" s="115"/>
    </row>
    <row r="185" spans="1:16" x14ac:dyDescent="0.3">
      <c r="A185" s="69"/>
      <c r="B185" s="70"/>
      <c r="C185" s="70"/>
      <c r="D185" s="70"/>
      <c r="E185" s="115"/>
      <c r="F185" s="115"/>
      <c r="G185" s="70"/>
      <c r="H185" s="115"/>
      <c r="P185" s="115"/>
    </row>
    <row r="186" spans="1:16" x14ac:dyDescent="0.3">
      <c r="A186" s="69"/>
      <c r="B186" s="70"/>
      <c r="C186" s="70"/>
      <c r="D186" s="70"/>
      <c r="E186" s="115"/>
      <c r="F186" s="115"/>
      <c r="G186" s="70"/>
      <c r="H186" s="115"/>
      <c r="P186" s="115"/>
    </row>
    <row r="187" spans="1:16" x14ac:dyDescent="0.3">
      <c r="A187" s="69"/>
      <c r="B187" s="70"/>
      <c r="C187" s="70"/>
      <c r="D187" s="70"/>
      <c r="E187" s="115"/>
      <c r="F187" s="115"/>
      <c r="G187" s="70"/>
      <c r="H187" s="115"/>
      <c r="P187" s="115"/>
    </row>
    <row r="188" spans="1:16" x14ac:dyDescent="0.3">
      <c r="A188" s="69"/>
      <c r="B188" s="70"/>
      <c r="C188" s="70"/>
      <c r="D188" s="70"/>
      <c r="E188" s="115"/>
      <c r="F188" s="115"/>
      <c r="G188" s="70"/>
      <c r="H188" s="115"/>
      <c r="P188" s="115"/>
    </row>
    <row r="189" spans="1:16" x14ac:dyDescent="0.3">
      <c r="A189" s="69"/>
      <c r="B189" s="70"/>
      <c r="C189" s="70"/>
      <c r="D189" s="70"/>
      <c r="E189" s="115"/>
      <c r="F189" s="115"/>
      <c r="G189" s="70"/>
      <c r="H189" s="115"/>
      <c r="P189" s="115"/>
    </row>
    <row r="190" spans="1:16" x14ac:dyDescent="0.3">
      <c r="A190" s="69"/>
      <c r="B190" s="55"/>
      <c r="C190" s="70"/>
      <c r="D190" s="70"/>
      <c r="E190" s="115"/>
      <c r="F190" s="115"/>
      <c r="G190" s="70"/>
      <c r="H190" s="115"/>
      <c r="P190" s="115"/>
    </row>
    <row r="191" spans="1:16" x14ac:dyDescent="0.3">
      <c r="C191" s="70"/>
    </row>
    <row r="192" spans="1:16" x14ac:dyDescent="0.3">
      <c r="C192" s="70"/>
    </row>
    <row r="193" spans="3:3" x14ac:dyDescent="0.3">
      <c r="C193" s="70"/>
    </row>
    <row r="194" spans="3:3" x14ac:dyDescent="0.3">
      <c r="C194" s="70"/>
    </row>
    <row r="195" spans="3:3" x14ac:dyDescent="0.3">
      <c r="C195" s="70"/>
    </row>
    <row r="222" spans="17:22" x14ac:dyDescent="0.3">
      <c r="Q222"/>
      <c r="R222"/>
      <c r="S222"/>
      <c r="T222"/>
      <c r="U222"/>
      <c r="V222"/>
    </row>
    <row r="223" spans="17:22" x14ac:dyDescent="0.3">
      <c r="Q223"/>
      <c r="R223"/>
      <c r="S223"/>
      <c r="T223"/>
      <c r="U223"/>
      <c r="V223"/>
    </row>
    <row r="224" spans="17:22" x14ac:dyDescent="0.3">
      <c r="Q224"/>
      <c r="R224"/>
      <c r="S224"/>
      <c r="T224"/>
      <c r="U224"/>
      <c r="V224"/>
    </row>
    <row r="225" spans="17:22" x14ac:dyDescent="0.3">
      <c r="Q225"/>
      <c r="R225"/>
      <c r="S225"/>
      <c r="T225"/>
      <c r="U225"/>
      <c r="V225"/>
    </row>
    <row r="226" spans="17:22" x14ac:dyDescent="0.3">
      <c r="Q226"/>
      <c r="R226"/>
      <c r="S226"/>
      <c r="T226"/>
      <c r="U226"/>
      <c r="V226"/>
    </row>
    <row r="227" spans="17:22" x14ac:dyDescent="0.3">
      <c r="Q227"/>
      <c r="R227"/>
      <c r="S227"/>
      <c r="T227"/>
      <c r="U227"/>
      <c r="V227"/>
    </row>
    <row r="228" spans="17:22" x14ac:dyDescent="0.3">
      <c r="Q228"/>
      <c r="R228"/>
      <c r="S228"/>
      <c r="T228"/>
      <c r="U228"/>
      <c r="V228"/>
    </row>
    <row r="229" spans="17:22" x14ac:dyDescent="0.3">
      <c r="Q229"/>
      <c r="R229"/>
      <c r="S229"/>
      <c r="T229"/>
      <c r="U229"/>
      <c r="V229"/>
    </row>
    <row r="230" spans="17:22" x14ac:dyDescent="0.3">
      <c r="Q230"/>
      <c r="R230"/>
      <c r="S230"/>
      <c r="T230"/>
      <c r="U230"/>
      <c r="V230"/>
    </row>
    <row r="231" spans="17:22" x14ac:dyDescent="0.3">
      <c r="Q231"/>
      <c r="R231"/>
      <c r="S231"/>
      <c r="T231"/>
      <c r="U231"/>
      <c r="V231"/>
    </row>
    <row r="232" spans="17:22" x14ac:dyDescent="0.3">
      <c r="Q232"/>
      <c r="R232"/>
      <c r="S232"/>
      <c r="T232"/>
      <c r="U232"/>
      <c r="V232"/>
    </row>
    <row r="233" spans="17:22" x14ac:dyDescent="0.3">
      <c r="Q233"/>
      <c r="R233"/>
      <c r="S233"/>
      <c r="T233"/>
      <c r="U233"/>
      <c r="V233"/>
    </row>
    <row r="234" spans="17:22" x14ac:dyDescent="0.3">
      <c r="Q234"/>
      <c r="R234"/>
      <c r="S234"/>
      <c r="T234"/>
      <c r="U234"/>
      <c r="V234"/>
    </row>
    <row r="235" spans="17:22" x14ac:dyDescent="0.3">
      <c r="Q235"/>
      <c r="R235"/>
      <c r="S235"/>
      <c r="T235"/>
      <c r="U235"/>
      <c r="V235"/>
    </row>
    <row r="236" spans="17:22" x14ac:dyDescent="0.3">
      <c r="Q236"/>
      <c r="R236"/>
      <c r="S236"/>
      <c r="T236"/>
      <c r="U236"/>
      <c r="V236"/>
    </row>
    <row r="237" spans="17:22" x14ac:dyDescent="0.3">
      <c r="Q237"/>
      <c r="R237"/>
      <c r="S237"/>
      <c r="T237"/>
      <c r="U237"/>
      <c r="V237"/>
    </row>
    <row r="238" spans="17:22" x14ac:dyDescent="0.3">
      <c r="Q238"/>
      <c r="R238"/>
      <c r="S238"/>
      <c r="T238"/>
      <c r="U238"/>
      <c r="V238"/>
    </row>
    <row r="239" spans="17:22" x14ac:dyDescent="0.3">
      <c r="Q239"/>
      <c r="R239"/>
      <c r="S239"/>
      <c r="T239"/>
      <c r="U239"/>
      <c r="V239"/>
    </row>
    <row r="240" spans="17:22" x14ac:dyDescent="0.3">
      <c r="Q240"/>
      <c r="R240"/>
      <c r="S240"/>
      <c r="T240"/>
      <c r="U240"/>
      <c r="V240"/>
    </row>
    <row r="241" spans="17:22" x14ac:dyDescent="0.3">
      <c r="Q241"/>
      <c r="R241"/>
      <c r="S241"/>
      <c r="T241"/>
      <c r="U241"/>
      <c r="V241"/>
    </row>
    <row r="242" spans="17:22" x14ac:dyDescent="0.3">
      <c r="Q242"/>
      <c r="R242"/>
      <c r="S242"/>
      <c r="T242"/>
      <c r="U242"/>
      <c r="V242"/>
    </row>
    <row r="243" spans="17:22" x14ac:dyDescent="0.3">
      <c r="Q243"/>
      <c r="R243"/>
      <c r="S243"/>
      <c r="T243"/>
      <c r="U243"/>
      <c r="V243"/>
    </row>
    <row r="244" spans="17:22" x14ac:dyDescent="0.3">
      <c r="Q244"/>
      <c r="R244"/>
      <c r="S244"/>
      <c r="T244"/>
      <c r="U244"/>
      <c r="V244"/>
    </row>
    <row r="245" spans="17:22" x14ac:dyDescent="0.3">
      <c r="Q245"/>
      <c r="R245"/>
      <c r="S245"/>
      <c r="T245"/>
      <c r="U245"/>
      <c r="V245"/>
    </row>
    <row r="246" spans="17:22" x14ac:dyDescent="0.3">
      <c r="Q246"/>
      <c r="R246"/>
      <c r="S246"/>
      <c r="T246"/>
      <c r="U246"/>
      <c r="V246"/>
    </row>
    <row r="247" spans="17:22" x14ac:dyDescent="0.3">
      <c r="Q247"/>
      <c r="R247"/>
      <c r="S247"/>
      <c r="T247"/>
      <c r="U247"/>
      <c r="V247"/>
    </row>
    <row r="248" spans="17:22" x14ac:dyDescent="0.3">
      <c r="Q248"/>
      <c r="R248"/>
      <c r="S248"/>
      <c r="T248"/>
      <c r="U248"/>
      <c r="V248"/>
    </row>
    <row r="249" spans="17:22" x14ac:dyDescent="0.3">
      <c r="Q249"/>
      <c r="R249"/>
      <c r="S249"/>
      <c r="T249"/>
      <c r="U249"/>
      <c r="V249"/>
    </row>
    <row r="250" spans="17:22" x14ac:dyDescent="0.3">
      <c r="Q250"/>
      <c r="R250"/>
      <c r="S250"/>
      <c r="T250"/>
      <c r="U250"/>
      <c r="V250"/>
    </row>
    <row r="251" spans="17:22" x14ac:dyDescent="0.3">
      <c r="Q251"/>
      <c r="R251"/>
      <c r="S251"/>
      <c r="T251"/>
      <c r="U251"/>
      <c r="V251"/>
    </row>
    <row r="252" spans="17:22" x14ac:dyDescent="0.3">
      <c r="Q252"/>
      <c r="R252"/>
      <c r="S252"/>
      <c r="T252"/>
      <c r="U252"/>
      <c r="V252"/>
    </row>
    <row r="253" spans="17:22" x14ac:dyDescent="0.3">
      <c r="Q253"/>
      <c r="R253"/>
      <c r="S253"/>
      <c r="T253"/>
      <c r="U253"/>
      <c r="V253"/>
    </row>
    <row r="254" spans="17:22" x14ac:dyDescent="0.3">
      <c r="Q254"/>
      <c r="R254"/>
      <c r="S254"/>
      <c r="T254"/>
      <c r="U254"/>
      <c r="V254"/>
    </row>
    <row r="255" spans="17:22" x14ac:dyDescent="0.3">
      <c r="Q255"/>
      <c r="R255"/>
      <c r="S255"/>
      <c r="T255"/>
      <c r="U255"/>
      <c r="V255"/>
    </row>
    <row r="256" spans="17:22" x14ac:dyDescent="0.3">
      <c r="Q256"/>
      <c r="R256"/>
      <c r="S256"/>
      <c r="T256"/>
      <c r="U256"/>
      <c r="V256"/>
    </row>
    <row r="257" spans="17:22" x14ac:dyDescent="0.3">
      <c r="Q257"/>
      <c r="R257"/>
      <c r="S257"/>
      <c r="T257"/>
      <c r="U257"/>
      <c r="V257"/>
    </row>
    <row r="258" spans="17:22" x14ac:dyDescent="0.3">
      <c r="Q258"/>
      <c r="R258"/>
      <c r="S258"/>
      <c r="T258"/>
      <c r="U258"/>
      <c r="V258"/>
    </row>
    <row r="259" spans="17:22" x14ac:dyDescent="0.3">
      <c r="Q259"/>
      <c r="R259"/>
      <c r="S259"/>
      <c r="T259"/>
      <c r="U259"/>
      <c r="V259"/>
    </row>
    <row r="260" spans="17:22" x14ac:dyDescent="0.3">
      <c r="Q260"/>
      <c r="R260"/>
      <c r="S260"/>
      <c r="T260"/>
      <c r="U260"/>
      <c r="V260"/>
    </row>
    <row r="261" spans="17:22" x14ac:dyDescent="0.3">
      <c r="Q261"/>
      <c r="R261"/>
      <c r="S261"/>
      <c r="T261"/>
      <c r="U261"/>
      <c r="V261"/>
    </row>
    <row r="262" spans="17:22" x14ac:dyDescent="0.3">
      <c r="Q262"/>
      <c r="R262"/>
      <c r="S262"/>
      <c r="T262"/>
      <c r="U262"/>
      <c r="V262"/>
    </row>
    <row r="263" spans="17:22" x14ac:dyDescent="0.3">
      <c r="Q263"/>
      <c r="R263"/>
      <c r="S263"/>
      <c r="T263"/>
      <c r="U263"/>
      <c r="V263"/>
    </row>
    <row r="264" spans="17:22" x14ac:dyDescent="0.3">
      <c r="Q264"/>
      <c r="R264"/>
      <c r="S264"/>
      <c r="T264"/>
      <c r="U264"/>
      <c r="V264"/>
    </row>
    <row r="265" spans="17:22" x14ac:dyDescent="0.3">
      <c r="Q265"/>
      <c r="R265"/>
      <c r="S265"/>
      <c r="T265"/>
      <c r="U265"/>
      <c r="V265"/>
    </row>
    <row r="266" spans="17:22" x14ac:dyDescent="0.3">
      <c r="Q266"/>
      <c r="R266"/>
      <c r="S266"/>
      <c r="T266"/>
      <c r="U266"/>
      <c r="V266"/>
    </row>
    <row r="267" spans="17:22" x14ac:dyDescent="0.3">
      <c r="Q267"/>
      <c r="R267"/>
      <c r="S267"/>
      <c r="T267"/>
      <c r="U267"/>
      <c r="V267"/>
    </row>
    <row r="268" spans="17:22" x14ac:dyDescent="0.3">
      <c r="Q268"/>
      <c r="R268"/>
      <c r="S268"/>
      <c r="T268"/>
      <c r="U268"/>
      <c r="V268"/>
    </row>
    <row r="269" spans="17:22" x14ac:dyDescent="0.3">
      <c r="Q269"/>
      <c r="R269"/>
      <c r="S269"/>
      <c r="T269"/>
      <c r="U269"/>
      <c r="V269"/>
    </row>
    <row r="270" spans="17:22" x14ac:dyDescent="0.3">
      <c r="Q270"/>
      <c r="R270"/>
      <c r="S270"/>
      <c r="T270"/>
      <c r="U270"/>
      <c r="V270"/>
    </row>
    <row r="271" spans="17:22" x14ac:dyDescent="0.3">
      <c r="Q271"/>
      <c r="R271"/>
      <c r="S271"/>
      <c r="T271"/>
      <c r="U271"/>
      <c r="V271"/>
    </row>
    <row r="272" spans="17:22" x14ac:dyDescent="0.3">
      <c r="Q272"/>
      <c r="R272"/>
      <c r="S272"/>
      <c r="T272"/>
      <c r="U272"/>
      <c r="V272"/>
    </row>
    <row r="273" spans="17:22" x14ac:dyDescent="0.3">
      <c r="Q273"/>
      <c r="R273"/>
      <c r="S273"/>
      <c r="T273"/>
      <c r="U273"/>
      <c r="V273"/>
    </row>
    <row r="274" spans="17:22" x14ac:dyDescent="0.3">
      <c r="Q274"/>
      <c r="R274"/>
      <c r="S274"/>
      <c r="T274"/>
      <c r="U274"/>
      <c r="V274"/>
    </row>
    <row r="275" spans="17:22" x14ac:dyDescent="0.3">
      <c r="Q275"/>
      <c r="R275"/>
      <c r="S275"/>
      <c r="T275"/>
      <c r="U275"/>
      <c r="V275"/>
    </row>
    <row r="276" spans="17:22" x14ac:dyDescent="0.3">
      <c r="Q276"/>
      <c r="R276"/>
      <c r="S276"/>
      <c r="T276"/>
      <c r="U276"/>
      <c r="V276"/>
    </row>
    <row r="277" spans="17:22" x14ac:dyDescent="0.3">
      <c r="Q277"/>
      <c r="R277"/>
      <c r="S277"/>
      <c r="T277"/>
      <c r="U277"/>
      <c r="V277"/>
    </row>
    <row r="278" spans="17:22" x14ac:dyDescent="0.3">
      <c r="Q278"/>
      <c r="R278"/>
      <c r="S278"/>
      <c r="T278"/>
      <c r="U278"/>
      <c r="V278"/>
    </row>
    <row r="279" spans="17:22" x14ac:dyDescent="0.3">
      <c r="Q279"/>
      <c r="R279"/>
      <c r="S279"/>
      <c r="T279"/>
      <c r="U279"/>
      <c r="V279"/>
    </row>
    <row r="280" spans="17:22" x14ac:dyDescent="0.3">
      <c r="Q280"/>
      <c r="R280"/>
      <c r="S280"/>
      <c r="T280"/>
      <c r="U280"/>
      <c r="V280"/>
    </row>
    <row r="281" spans="17:22" x14ac:dyDescent="0.3">
      <c r="Q281"/>
      <c r="R281"/>
      <c r="S281"/>
      <c r="T281"/>
      <c r="U281"/>
      <c r="V281"/>
    </row>
    <row r="282" spans="17:22" x14ac:dyDescent="0.3">
      <c r="Q282"/>
      <c r="R282"/>
      <c r="S282"/>
      <c r="T282"/>
      <c r="U282"/>
      <c r="V282"/>
    </row>
    <row r="283" spans="17:22" x14ac:dyDescent="0.3">
      <c r="Q283"/>
      <c r="R283"/>
      <c r="S283"/>
      <c r="T283"/>
      <c r="U283"/>
      <c r="V283"/>
    </row>
    <row r="284" spans="17:22" x14ac:dyDescent="0.3">
      <c r="Q284"/>
      <c r="R284"/>
      <c r="S284"/>
      <c r="T284"/>
      <c r="U284"/>
      <c r="V284"/>
    </row>
    <row r="309" spans="17:21" x14ac:dyDescent="0.3">
      <c r="Q309" s="32"/>
      <c r="U309" s="3"/>
    </row>
    <row r="326" spans="17:21" x14ac:dyDescent="0.3">
      <c r="Q326" s="32"/>
      <c r="U326" s="3"/>
    </row>
    <row r="340" spans="17:21" x14ac:dyDescent="0.3">
      <c r="Q340" s="32"/>
      <c r="U340" s="3"/>
    </row>
    <row r="360" spans="17:21" x14ac:dyDescent="0.3">
      <c r="Q360" s="32"/>
      <c r="U360" s="3"/>
    </row>
    <row r="376" spans="17:21" x14ac:dyDescent="0.3">
      <c r="Q376" s="32"/>
      <c r="U376" s="3"/>
    </row>
    <row r="383" spans="17:21" x14ac:dyDescent="0.3">
      <c r="Q383" s="55"/>
      <c r="R383" s="56"/>
      <c r="S383" s="57"/>
    </row>
    <row r="384" spans="17:21" x14ac:dyDescent="0.3">
      <c r="Q384" s="55"/>
      <c r="R384" s="56"/>
      <c r="S384" s="57"/>
    </row>
    <row r="385" spans="17:21" x14ac:dyDescent="0.3">
      <c r="Q385" s="58"/>
      <c r="R385" s="56"/>
      <c r="S385" s="57"/>
    </row>
    <row r="386" spans="17:21" x14ac:dyDescent="0.3">
      <c r="Q386" s="55"/>
      <c r="R386" s="56"/>
      <c r="S386" s="57"/>
    </row>
    <row r="387" spans="17:21" x14ac:dyDescent="0.3">
      <c r="Q387" s="55"/>
      <c r="R387" s="56"/>
      <c r="S387" s="57"/>
    </row>
    <row r="388" spans="17:21" x14ac:dyDescent="0.3">
      <c r="Q388" s="58"/>
      <c r="R388" s="56"/>
      <c r="S388" s="57"/>
    </row>
    <row r="391" spans="17:21" x14ac:dyDescent="0.3">
      <c r="Q391" s="32"/>
      <c r="U391" s="3"/>
    </row>
    <row r="408" spans="17:21" x14ac:dyDescent="0.3">
      <c r="Q408" s="32"/>
      <c r="U408" s="3"/>
    </row>
    <row r="413" spans="17:21" x14ac:dyDescent="0.3">
      <c r="Q413" s="32"/>
    </row>
    <row r="414" spans="17:21" x14ac:dyDescent="0.3">
      <c r="Q414" s="32"/>
    </row>
    <row r="419" spans="17:17" x14ac:dyDescent="0.3">
      <c r="Q419" s="32"/>
    </row>
  </sheetData>
  <mergeCells count="15">
    <mergeCell ref="A120:P120"/>
    <mergeCell ref="A137:P137"/>
    <mergeCell ref="A152:P152"/>
    <mergeCell ref="A22:P22"/>
    <mergeCell ref="A51:P51"/>
    <mergeCell ref="A68:P68"/>
    <mergeCell ref="A86:P86"/>
    <mergeCell ref="A100:P100"/>
    <mergeCell ref="A5:P5"/>
    <mergeCell ref="A1:K1"/>
    <mergeCell ref="L1:O1"/>
    <mergeCell ref="C3:F3"/>
    <mergeCell ref="K3:N3"/>
    <mergeCell ref="G3:H3"/>
    <mergeCell ref="O3:P3"/>
  </mergeCells>
  <pageMargins left="0.11811023622047245" right="0.11811023622047245" top="0.35433070866141736" bottom="0.35433070866141736" header="0.31496062992125984" footer="0.31496062992125984"/>
  <pageSetup paperSize="8" scale="87" fitToHeight="0" orientation="landscape" r:id="rId1"/>
  <rowBreaks count="3" manualBreakCount="3">
    <brk id="49" max="16383" man="1"/>
    <brk id="98" max="16383" man="1"/>
    <brk id="15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2022 Budget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fradin</dc:creator>
  <cp:lastModifiedBy>Utilisateur</cp:lastModifiedBy>
  <cp:lastPrinted>2023-05-15T07:41:57Z</cp:lastPrinted>
  <dcterms:created xsi:type="dcterms:W3CDTF">2021-03-09T12:54:27Z</dcterms:created>
  <dcterms:modified xsi:type="dcterms:W3CDTF">2023-05-22T08:38:14Z</dcterms:modified>
</cp:coreProperties>
</file>