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0"/>
  </bookViews>
  <sheets>
    <sheet name="2020" sheetId="1" r:id="rId1"/>
  </sheets>
  <definedNames>
    <definedName name="_xlnm.Print_Area" localSheetId="0">'2020'!$A$2:$J$49</definedName>
  </definedNames>
  <calcPr fullCalcOnLoad="1"/>
</workbook>
</file>

<file path=xl/comments1.xml><?xml version="1.0" encoding="utf-8"?>
<comments xmlns="http://schemas.openxmlformats.org/spreadsheetml/2006/main">
  <authors>
    <author>Jean-Pierre Rouquier</author>
  </authors>
  <commentList>
    <comment ref="D44" authorId="0">
      <text>
        <r>
          <rPr>
            <b/>
            <sz val="9"/>
            <rFont val="Tahoma"/>
            <family val="2"/>
          </rPr>
          <t>Jean-Pierre Rouquier:</t>
        </r>
        <r>
          <rPr>
            <sz val="9"/>
            <rFont val="Tahoma"/>
            <family val="2"/>
          </rPr>
          <t xml:space="preserve">
Stade Limoges</t>
        </r>
      </text>
    </comment>
  </commentList>
</comments>
</file>

<file path=xl/sharedStrings.xml><?xml version="1.0" encoding="utf-8"?>
<sst xmlns="http://schemas.openxmlformats.org/spreadsheetml/2006/main" count="88" uniqueCount="83">
  <si>
    <t>CHARGES</t>
  </si>
  <si>
    <t>PRODUITS</t>
  </si>
  <si>
    <t>I. Charges directes affectées à l’action</t>
  </si>
  <si>
    <t>I. Ressources directes affectées à l’action</t>
  </si>
  <si>
    <t>60 - Achat</t>
  </si>
  <si>
    <r>
      <t>74 - Subventions d’exploitation</t>
    </r>
    <r>
      <rPr>
        <sz val="8"/>
        <color indexed="8"/>
        <rFont val="Times New Roman"/>
        <family val="1"/>
      </rPr>
      <t xml:space="preserve"> (</t>
    </r>
    <r>
      <rPr>
        <sz val="7"/>
        <color indexed="8"/>
        <rFont val="Times New Roman"/>
        <family val="1"/>
      </rPr>
      <t>1)</t>
    </r>
  </si>
  <si>
    <t>61 - Services extérieurs</t>
  </si>
  <si>
    <t>Assurance</t>
  </si>
  <si>
    <t>Région(s):</t>
  </si>
  <si>
    <t>Documentation</t>
  </si>
  <si>
    <t>62 - Autres services extérieurs</t>
  </si>
  <si>
    <t>Département(s):</t>
  </si>
  <si>
    <t>Services bancaires, autres</t>
  </si>
  <si>
    <t>63 - Impôts et taxes</t>
  </si>
  <si>
    <t>Organismes sociaux (à détailler):</t>
  </si>
  <si>
    <t>Impôts et taxes sur rémunération,</t>
  </si>
  <si>
    <t>Autres impôts et taxes</t>
  </si>
  <si>
    <t>64 - Charges de personnel</t>
  </si>
  <si>
    <t>Fonds européens</t>
  </si>
  <si>
    <t>Rémunération des personnels,</t>
  </si>
  <si>
    <t>Charges sociales,</t>
  </si>
  <si>
    <t>Autres charges de personnel</t>
  </si>
  <si>
    <t>65 - Autres charges de gestion courante</t>
  </si>
  <si>
    <t>75 - Autres produits de gestion courante</t>
  </si>
  <si>
    <t>66 - Charges financières</t>
  </si>
  <si>
    <t>67 - Charges exceptionnelles</t>
  </si>
  <si>
    <t>76 - Produits financiers</t>
  </si>
  <si>
    <t>78 – Reprises sur amortissements et provisions</t>
  </si>
  <si>
    <t>Total des charges</t>
  </si>
  <si>
    <t>Total des produits</t>
  </si>
  <si>
    <t>86 - Emplois des contributions volontaires en nature</t>
  </si>
  <si>
    <t>87 - Contributions volontaires en nature</t>
  </si>
  <si>
    <t>Secours en nature</t>
  </si>
  <si>
    <t>Dons en nature</t>
  </si>
  <si>
    <t>Mise à disposition gratuite de biens et prestations</t>
  </si>
  <si>
    <t>Prestations en nature</t>
  </si>
  <si>
    <t>Personnel bénévole</t>
  </si>
  <si>
    <t>Bénévolat</t>
  </si>
  <si>
    <t>Valorisation de l’action du ou des C.T.S.</t>
  </si>
  <si>
    <t xml:space="preserve">TOTAL </t>
  </si>
  <si>
    <t>LANA</t>
  </si>
  <si>
    <t>Achat d'études et de prestations de services</t>
  </si>
  <si>
    <t>Achats non stockés de matières et fournitures</t>
  </si>
  <si>
    <t>Fournitures non stockables (eau, énergie)</t>
  </si>
  <si>
    <t>Fournitures d'entretien et de petit matériel</t>
  </si>
  <si>
    <t xml:space="preserve">Autres fournitures </t>
  </si>
  <si>
    <t>Prestation de service</t>
  </si>
  <si>
    <t>Vente de marchandises</t>
  </si>
  <si>
    <t>Produits des activités annexes</t>
  </si>
  <si>
    <t>Sous traitance générale</t>
  </si>
  <si>
    <t xml:space="preserve">Rémunérations intermédiaires et honoraires </t>
  </si>
  <si>
    <t>Publicité - Publications / Récompenses</t>
  </si>
  <si>
    <t>Déplacements</t>
  </si>
  <si>
    <t>Missions</t>
  </si>
  <si>
    <t>Frais postaux et de télecommunication</t>
  </si>
  <si>
    <t>79 - Transfert de charges</t>
  </si>
  <si>
    <t>Commune (s)</t>
  </si>
  <si>
    <t>Intercommunalité</t>
  </si>
  <si>
    <t>Partenariats privés</t>
  </si>
  <si>
    <t>- Mécénats :</t>
  </si>
  <si>
    <t>- Sponsoring :</t>
  </si>
  <si>
    <t>Dont cotisations</t>
  </si>
  <si>
    <r>
      <t xml:space="preserve">70 – </t>
    </r>
    <r>
      <rPr>
        <b/>
        <sz val="8"/>
        <color indexed="18"/>
        <rFont val="Arial"/>
        <family val="2"/>
      </rPr>
      <t>Vente de produits finis, prestations de services, marchandises</t>
    </r>
  </si>
  <si>
    <t>Location - Entretien et réparation</t>
  </si>
  <si>
    <t>77 - Produits exceptionnels</t>
  </si>
  <si>
    <t>FFA</t>
  </si>
  <si>
    <t>Fonds propres</t>
  </si>
  <si>
    <t xml:space="preserve">Autres produits (Inscriptions stagiaires,…) </t>
  </si>
  <si>
    <t>Frais formation salariés</t>
  </si>
  <si>
    <t>Variation des stocks</t>
  </si>
  <si>
    <t>Autres financements publics (ASP)</t>
  </si>
  <si>
    <t>68 - Dotation aux amortissements / Provisions</t>
  </si>
  <si>
    <t>Intérêts des fonds placés</t>
  </si>
  <si>
    <t>Fonds dédiès</t>
  </si>
  <si>
    <t>Prévu 2019</t>
  </si>
  <si>
    <t>2018</t>
  </si>
  <si>
    <t>Etat: (précisez le(s) ministère(s) sollicité(s) BOP</t>
  </si>
  <si>
    <t>- PSF-ANS 2019 (ex CNDS)</t>
  </si>
  <si>
    <t>Adhésion organismes (ANAPLA, CROS, ASPT, ...), Jury</t>
  </si>
  <si>
    <t>Prévu 2020</t>
  </si>
  <si>
    <t>Réalisé 2019</t>
  </si>
  <si>
    <t>Produits gestion courante</t>
  </si>
  <si>
    <t>Compte Rendu financier 2019 &amp; Budget prévisionnel 2020 Assemblée Générale 14/11/2020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</si>
</sst>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_€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name val="Times New Roman"/>
      <family val="1"/>
    </font>
    <font>
      <sz val="9"/>
      <name val="Garamond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9"/>
      <color indexed="9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Garamond"/>
      <family val="1"/>
    </font>
    <font>
      <b/>
      <sz val="9"/>
      <color indexed="1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Garamond"/>
      <family val="1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u val="single"/>
      <sz val="12"/>
      <color indexed="63"/>
      <name val="Trebuchet M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9"/>
      <color rgb="FFFFFFFF"/>
      <name val="Times New Roman"/>
      <family val="1"/>
    </font>
    <font>
      <b/>
      <sz val="9"/>
      <color rgb="FFFFFFFF"/>
      <name val="Arial"/>
      <family val="2"/>
    </font>
    <font>
      <b/>
      <sz val="9"/>
      <color theme="1"/>
      <name val="Times New Roman"/>
      <family val="1"/>
    </font>
    <font>
      <sz val="9"/>
      <color theme="1"/>
      <name val="Garamond"/>
      <family val="1"/>
    </font>
    <font>
      <b/>
      <sz val="9"/>
      <color rgb="FF00008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sz val="12"/>
      <color rgb="FFFFFFFF"/>
      <name val="Times New Roman"/>
      <family val="1"/>
    </font>
    <font>
      <sz val="12"/>
      <color rgb="FFFFFFFF"/>
      <name val="Garamond"/>
      <family val="1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u val="single"/>
      <sz val="12"/>
      <color rgb="FF333333"/>
      <name val="Trebuchet MS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6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6" fillId="33" borderId="10" xfId="0" applyFont="1" applyFill="1" applyBorder="1" applyAlignment="1" applyProtection="1">
      <alignment horizontal="center" vertical="center" wrapText="1"/>
      <protection/>
    </xf>
    <xf numFmtId="0" fontId="57" fillId="33" borderId="10" xfId="0" applyFont="1" applyFill="1" applyBorder="1" applyAlignment="1" applyProtection="1">
      <alignment horizontal="center" vertical="center" wrapText="1"/>
      <protection/>
    </xf>
    <xf numFmtId="49" fontId="56" fillId="33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11" xfId="0" applyFont="1" applyBorder="1" applyAlignment="1" applyProtection="1">
      <alignment vertical="center" wrapText="1"/>
      <protection/>
    </xf>
    <xf numFmtId="4" fontId="59" fillId="0" borderId="11" xfId="0" applyNumberFormat="1" applyFont="1" applyBorder="1" applyAlignment="1" applyProtection="1">
      <alignment vertical="center" wrapText="1"/>
      <protection/>
    </xf>
    <xf numFmtId="49" fontId="58" fillId="0" borderId="11" xfId="0" applyNumberFormat="1" applyFont="1" applyBorder="1" applyAlignment="1" applyProtection="1">
      <alignment vertical="center" wrapText="1"/>
      <protection/>
    </xf>
    <xf numFmtId="4" fontId="59" fillId="0" borderId="12" xfId="0" applyNumberFormat="1" applyFont="1" applyBorder="1" applyAlignment="1" applyProtection="1">
      <alignment vertical="center" wrapText="1"/>
      <protection/>
    </xf>
    <xf numFmtId="0" fontId="60" fillId="6" borderId="13" xfId="0" applyFont="1" applyFill="1" applyBorder="1" applyAlignment="1" applyProtection="1">
      <alignment vertical="center" wrapText="1"/>
      <protection/>
    </xf>
    <xf numFmtId="4" fontId="59" fillId="6" borderId="13" xfId="0" applyNumberFormat="1" applyFont="1" applyFill="1" applyBorder="1" applyAlignment="1" applyProtection="1">
      <alignment vertical="center" wrapText="1"/>
      <protection/>
    </xf>
    <xf numFmtId="49" fontId="60" fillId="6" borderId="10" xfId="0" applyNumberFormat="1" applyFont="1" applyFill="1" applyBorder="1" applyAlignment="1" applyProtection="1">
      <alignment vertical="center" wrapText="1"/>
      <protection/>
    </xf>
    <xf numFmtId="0" fontId="61" fillId="0" borderId="11" xfId="0" applyFont="1" applyBorder="1" applyAlignment="1" applyProtection="1">
      <alignment vertical="center" wrapText="1"/>
      <protection/>
    </xf>
    <xf numFmtId="4" fontId="59" fillId="0" borderId="11" xfId="0" applyNumberFormat="1" applyFont="1" applyFill="1" applyBorder="1" applyAlignment="1" applyProtection="1">
      <alignment vertical="center" wrapText="1"/>
      <protection/>
    </xf>
    <xf numFmtId="49" fontId="59" fillId="0" borderId="11" xfId="0" applyNumberFormat="1" applyFont="1" applyBorder="1" applyAlignment="1" applyProtection="1">
      <alignment vertical="center" wrapText="1"/>
      <protection/>
    </xf>
    <xf numFmtId="4" fontId="62" fillId="0" borderId="13" xfId="0" applyNumberFormat="1" applyFont="1" applyBorder="1" applyAlignment="1" applyProtection="1">
      <alignment vertical="center"/>
      <protection/>
    </xf>
    <xf numFmtId="4" fontId="59" fillId="0" borderId="12" xfId="0" applyNumberFormat="1" applyFont="1" applyFill="1" applyBorder="1" applyAlignment="1" applyProtection="1">
      <alignment vertical="center" wrapText="1"/>
      <protection/>
    </xf>
    <xf numFmtId="4" fontId="59" fillId="0" borderId="13" xfId="0" applyNumberFormat="1" applyFont="1" applyBorder="1" applyAlignment="1" applyProtection="1">
      <alignment vertical="center" wrapText="1"/>
      <protection/>
    </xf>
    <xf numFmtId="0" fontId="60" fillId="6" borderId="11" xfId="0" applyFont="1" applyFill="1" applyBorder="1" applyAlignment="1" applyProtection="1">
      <alignment vertical="center" wrapText="1"/>
      <protection/>
    </xf>
    <xf numFmtId="4" fontId="59" fillId="6" borderId="11" xfId="0" applyNumberFormat="1" applyFont="1" applyFill="1" applyBorder="1" applyAlignment="1" applyProtection="1">
      <alignment vertical="center" wrapText="1"/>
      <protection/>
    </xf>
    <xf numFmtId="49" fontId="60" fillId="6" borderId="11" xfId="0" applyNumberFormat="1" applyFont="1" applyFill="1" applyBorder="1" applyAlignment="1" applyProtection="1">
      <alignment vertical="center" wrapText="1"/>
      <protection/>
    </xf>
    <xf numFmtId="4" fontId="59" fillId="6" borderId="12" xfId="0" applyNumberFormat="1" applyFont="1" applyFill="1" applyBorder="1" applyAlignment="1" applyProtection="1">
      <alignment vertical="center" wrapText="1"/>
      <protection/>
    </xf>
    <xf numFmtId="49" fontId="61" fillId="0" borderId="11" xfId="0" applyNumberFormat="1" applyFont="1" applyBorder="1" applyAlignment="1" applyProtection="1">
      <alignment vertical="center" wrapText="1"/>
      <protection/>
    </xf>
    <xf numFmtId="4" fontId="59" fillId="34" borderId="12" xfId="0" applyNumberFormat="1" applyFont="1" applyFill="1" applyBorder="1" applyAlignment="1" applyProtection="1">
      <alignment vertical="center" wrapText="1"/>
      <protection/>
    </xf>
    <xf numFmtId="49" fontId="63" fillId="0" borderId="11" xfId="0" applyNumberFormat="1" applyFont="1" applyFill="1" applyBorder="1" applyAlignment="1" applyProtection="1">
      <alignment vertical="center" wrapText="1"/>
      <protection/>
    </xf>
    <xf numFmtId="0" fontId="61" fillId="0" borderId="14" xfId="0" applyFont="1" applyBorder="1" applyAlignment="1" applyProtection="1">
      <alignment vertical="center" wrapText="1"/>
      <protection/>
    </xf>
    <xf numFmtId="4" fontId="59" fillId="0" borderId="14" xfId="0" applyNumberFormat="1" applyFont="1" applyBorder="1" applyAlignment="1" applyProtection="1">
      <alignment vertical="center" wrapText="1"/>
      <protection/>
    </xf>
    <xf numFmtId="4" fontId="59" fillId="0" borderId="14" xfId="0" applyNumberFormat="1" applyFont="1" applyFill="1" applyBorder="1" applyAlignment="1" applyProtection="1">
      <alignment vertical="center" wrapText="1"/>
      <protection/>
    </xf>
    <xf numFmtId="49" fontId="63" fillId="0" borderId="10" xfId="0" applyNumberFormat="1" applyFont="1" applyBorder="1" applyAlignment="1" applyProtection="1">
      <alignment vertical="center" wrapText="1"/>
      <protection/>
    </xf>
    <xf numFmtId="4" fontId="59" fillId="34" borderId="13" xfId="0" applyNumberFormat="1" applyFont="1" applyFill="1" applyBorder="1" applyAlignment="1" applyProtection="1">
      <alignment vertical="center" wrapText="1"/>
      <protection/>
    </xf>
    <xf numFmtId="0" fontId="60" fillId="6" borderId="10" xfId="0" applyFont="1" applyFill="1" applyBorder="1" applyAlignment="1" applyProtection="1">
      <alignment vertical="center" wrapText="1"/>
      <protection/>
    </xf>
    <xf numFmtId="49" fontId="63" fillId="0" borderId="11" xfId="0" applyNumberFormat="1" applyFont="1" applyBorder="1" applyAlignment="1" applyProtection="1">
      <alignment vertical="center" wrapText="1"/>
      <protection/>
    </xf>
    <xf numFmtId="0" fontId="61" fillId="0" borderId="13" xfId="0" applyFont="1" applyBorder="1" applyAlignment="1" applyProtection="1">
      <alignment vertical="center" wrapText="1"/>
      <protection/>
    </xf>
    <xf numFmtId="49" fontId="60" fillId="6" borderId="13" xfId="0" applyNumberFormat="1" applyFont="1" applyFill="1" applyBorder="1" applyAlignment="1" applyProtection="1">
      <alignment vertical="center" wrapText="1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4" fontId="6" fillId="0" borderId="15" xfId="0" applyNumberFormat="1" applyFont="1" applyFill="1" applyBorder="1" applyAlignment="1" applyProtection="1">
      <alignment vertical="center" wrapText="1"/>
      <protection/>
    </xf>
    <xf numFmtId="4" fontId="6" fillId="0" borderId="16" xfId="0" applyNumberFormat="1" applyFont="1" applyFill="1" applyBorder="1" applyAlignment="1" applyProtection="1">
      <alignment vertical="center" wrapText="1"/>
      <protection/>
    </xf>
    <xf numFmtId="4" fontId="6" fillId="0" borderId="16" xfId="0" applyNumberFormat="1" applyFont="1" applyBorder="1" applyAlignment="1" applyProtection="1">
      <alignment vertical="center" wrapText="1"/>
      <protection/>
    </xf>
    <xf numFmtId="49" fontId="60" fillId="6" borderId="14" xfId="0" applyNumberFormat="1" applyFont="1" applyFill="1" applyBorder="1" applyAlignment="1" applyProtection="1">
      <alignment vertical="center" wrapText="1"/>
      <protection/>
    </xf>
    <xf numFmtId="0" fontId="60" fillId="6" borderId="15" xfId="0" applyFont="1" applyFill="1" applyBorder="1" applyAlignment="1" applyProtection="1">
      <alignment vertical="center" wrapText="1"/>
      <protection/>
    </xf>
    <xf numFmtId="0" fontId="64" fillId="33" borderId="10" xfId="0" applyFont="1" applyFill="1" applyBorder="1" applyAlignment="1" applyProtection="1">
      <alignment vertical="center" wrapText="1"/>
      <protection/>
    </xf>
    <xf numFmtId="4" fontId="65" fillId="33" borderId="11" xfId="0" applyNumberFormat="1" applyFont="1" applyFill="1" applyBorder="1" applyAlignment="1" applyProtection="1">
      <alignment vertical="center" wrapText="1"/>
      <protection/>
    </xf>
    <xf numFmtId="49" fontId="64" fillId="33" borderId="10" xfId="0" applyNumberFormat="1" applyFont="1" applyFill="1" applyBorder="1" applyAlignment="1" applyProtection="1">
      <alignment vertical="center" wrapText="1"/>
      <protection/>
    </xf>
    <xf numFmtId="0" fontId="60" fillId="0" borderId="11" xfId="0" applyFont="1" applyBorder="1" applyAlignment="1" applyProtection="1">
      <alignment vertical="center" wrapText="1"/>
      <protection/>
    </xf>
    <xf numFmtId="4" fontId="59" fillId="34" borderId="11" xfId="0" applyNumberFormat="1" applyFont="1" applyFill="1" applyBorder="1" applyAlignment="1" applyProtection="1">
      <alignment vertical="center" wrapText="1"/>
      <protection/>
    </xf>
    <xf numFmtId="49" fontId="60" fillId="0" borderId="11" xfId="0" applyNumberFormat="1" applyFont="1" applyBorder="1" applyAlignment="1" applyProtection="1">
      <alignment vertical="center" wrapText="1"/>
      <protection/>
    </xf>
    <xf numFmtId="0" fontId="64" fillId="33" borderId="11" xfId="0" applyFont="1" applyFill="1" applyBorder="1" applyAlignment="1" applyProtection="1">
      <alignment vertical="center" wrapText="1"/>
      <protection/>
    </xf>
    <xf numFmtId="49" fontId="64" fillId="33" borderId="11" xfId="0" applyNumberFormat="1" applyFont="1" applyFill="1" applyBorder="1" applyAlignment="1" applyProtection="1">
      <alignment vertical="center" wrapText="1"/>
      <protection/>
    </xf>
    <xf numFmtId="4" fontId="66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 vertical="center"/>
      <protection/>
    </xf>
    <xf numFmtId="4" fontId="0" fillId="0" borderId="0" xfId="0" applyNumberFormat="1" applyAlignment="1" applyProtection="1">
      <alignment/>
      <protection/>
    </xf>
    <xf numFmtId="4" fontId="67" fillId="0" borderId="0" xfId="0" applyNumberFormat="1" applyFont="1" applyAlignment="1" applyProtection="1">
      <alignment vertical="center"/>
      <protection/>
    </xf>
    <xf numFmtId="0" fontId="68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1"/>
  <sheetViews>
    <sheetView tabSelected="1" zoomScalePageLayoutView="0" workbookViewId="0" topLeftCell="A1">
      <selection activeCell="E12" sqref="E12"/>
    </sheetView>
  </sheetViews>
  <sheetFormatPr defaultColWidth="11.421875" defaultRowHeight="15"/>
  <cols>
    <col min="1" max="1" width="43.57421875" style="2" customWidth="1"/>
    <col min="2" max="3" width="13.7109375" style="2" customWidth="1"/>
    <col min="4" max="4" width="12.8515625" style="2" customWidth="1"/>
    <col min="5" max="5" width="13.7109375" style="2" customWidth="1"/>
    <col min="6" max="6" width="33.57421875" style="1" customWidth="1"/>
    <col min="7" max="7" width="15.00390625" style="1" customWidth="1"/>
    <col min="8" max="8" width="13.57421875" style="4" customWidth="1"/>
    <col min="9" max="9" width="12.8515625" style="2" customWidth="1"/>
    <col min="10" max="10" width="14.57421875" style="4" customWidth="1"/>
    <col min="11" max="16384" width="11.421875" style="2" customWidth="1"/>
  </cols>
  <sheetData>
    <row r="1" ht="6" customHeight="1"/>
    <row r="2" spans="1:10" ht="18">
      <c r="A2" s="59" t="s">
        <v>82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7.5" customHeight="1" thickBot="1">
      <c r="A3" s="8"/>
      <c r="B3" s="8"/>
      <c r="C3" s="5"/>
      <c r="D3" s="5"/>
      <c r="E3" s="5"/>
      <c r="F3" s="6"/>
      <c r="G3" s="6"/>
      <c r="H3" s="7"/>
      <c r="I3" s="5"/>
      <c r="J3" s="7"/>
    </row>
    <row r="4" spans="1:10" ht="14.25" customHeight="1" thickBot="1">
      <c r="A4" s="9" t="s">
        <v>0</v>
      </c>
      <c r="B4" s="9">
        <v>2018</v>
      </c>
      <c r="C4" s="10" t="s">
        <v>74</v>
      </c>
      <c r="D4" s="10" t="s">
        <v>80</v>
      </c>
      <c r="E4" s="10" t="s">
        <v>79</v>
      </c>
      <c r="F4" s="11" t="s">
        <v>1</v>
      </c>
      <c r="G4" s="11" t="s">
        <v>75</v>
      </c>
      <c r="H4" s="10" t="s">
        <v>74</v>
      </c>
      <c r="I4" s="10" t="s">
        <v>80</v>
      </c>
      <c r="J4" s="10" t="s">
        <v>79</v>
      </c>
    </row>
    <row r="5" spans="1:10" ht="22.5" customHeight="1" thickBot="1">
      <c r="A5" s="12" t="s">
        <v>2</v>
      </c>
      <c r="B5" s="13">
        <f>B6+B13+B19+B28+B32+B36+B38+B39+B40</f>
        <v>847743.9600000001</v>
      </c>
      <c r="C5" s="13">
        <f>C6+C13+C19+C28+C32+C36+C38+C39+C40</f>
        <v>754836</v>
      </c>
      <c r="D5" s="13">
        <f>D6+D13+D19+D28+D32+D36+D38+D39+D40</f>
        <v>733120.0299999999</v>
      </c>
      <c r="E5" s="13">
        <f>E6+E13+E19+E28+E32+E36+E38+E39+E40</f>
        <v>822587.6</v>
      </c>
      <c r="F5" s="14" t="s">
        <v>3</v>
      </c>
      <c r="G5" s="15">
        <f>G6+G13+G32+G36+G38+G39+G40</f>
        <v>765221.2699999999</v>
      </c>
      <c r="H5" s="15">
        <f>H6+H13+H32+H36+H38+H39+H40</f>
        <v>754836</v>
      </c>
      <c r="I5" s="15">
        <f>I6+I13+I32+I36+I38+I39+I40</f>
        <v>768513.4499999998</v>
      </c>
      <c r="J5" s="15">
        <f>+J6+J13+J32+J36+J38+J39+J40</f>
        <v>822587.6000000001</v>
      </c>
    </row>
    <row r="6" spans="1:10" ht="22.5" customHeight="1" thickBot="1">
      <c r="A6" s="16" t="s">
        <v>4</v>
      </c>
      <c r="B6" s="17">
        <f>SUM(B7:B12)</f>
        <v>88412.06999999999</v>
      </c>
      <c r="C6" s="17">
        <f>SUM(C7:C12)</f>
        <v>83500</v>
      </c>
      <c r="D6" s="17">
        <f>SUM(D7:D12)</f>
        <v>53144.21</v>
      </c>
      <c r="E6" s="17">
        <f>SUM(E7:E12)</f>
        <v>71036</v>
      </c>
      <c r="F6" s="18" t="s">
        <v>62</v>
      </c>
      <c r="G6" s="17">
        <f>SUM(G7:G12)</f>
        <v>8284.95</v>
      </c>
      <c r="H6" s="17">
        <f>SUM(H7:H12)</f>
        <v>20000</v>
      </c>
      <c r="I6" s="17">
        <f>SUM(I7:I12)</f>
        <v>28263.77</v>
      </c>
      <c r="J6" s="17">
        <f>SUM(J7:J12)</f>
        <v>37500</v>
      </c>
    </row>
    <row r="7" spans="1:10" ht="22.5" customHeight="1" thickBot="1">
      <c r="A7" s="19" t="s">
        <v>41</v>
      </c>
      <c r="B7" s="13">
        <v>56949.13</v>
      </c>
      <c r="C7" s="13">
        <v>39000</v>
      </c>
      <c r="D7" s="20">
        <v>25644.05</v>
      </c>
      <c r="E7" s="13">
        <v>38262</v>
      </c>
      <c r="F7" s="21" t="s">
        <v>46</v>
      </c>
      <c r="G7" s="15"/>
      <c r="H7" s="22"/>
      <c r="I7" s="15"/>
      <c r="J7" s="22">
        <v>0</v>
      </c>
    </row>
    <row r="8" spans="1:10" ht="22.5" customHeight="1" thickBot="1">
      <c r="A8" s="19" t="s">
        <v>42</v>
      </c>
      <c r="B8" s="13">
        <v>15193.82</v>
      </c>
      <c r="C8" s="13">
        <v>13000</v>
      </c>
      <c r="D8" s="20">
        <v>14933.56</v>
      </c>
      <c r="E8" s="13">
        <v>2000</v>
      </c>
      <c r="F8" s="21"/>
      <c r="G8" s="15"/>
      <c r="H8" s="22"/>
      <c r="I8" s="15"/>
      <c r="J8" s="22">
        <v>0</v>
      </c>
    </row>
    <row r="9" spans="1:10" ht="22.5" customHeight="1" thickBot="1">
      <c r="A9" s="19" t="s">
        <v>43</v>
      </c>
      <c r="B9" s="13">
        <v>939.54</v>
      </c>
      <c r="C9" s="13">
        <v>1500</v>
      </c>
      <c r="D9" s="20">
        <v>646.65</v>
      </c>
      <c r="E9" s="13">
        <v>1000</v>
      </c>
      <c r="F9" s="21" t="s">
        <v>47</v>
      </c>
      <c r="G9" s="15">
        <v>120</v>
      </c>
      <c r="H9" s="22"/>
      <c r="I9" s="15"/>
      <c r="J9" s="22">
        <v>0</v>
      </c>
    </row>
    <row r="10" spans="1:10" ht="22.5" customHeight="1" thickBot="1">
      <c r="A10" s="19" t="s">
        <v>44</v>
      </c>
      <c r="B10" s="13">
        <f>2365.69+10728.69</f>
        <v>13094.380000000001</v>
      </c>
      <c r="C10" s="13">
        <v>25000</v>
      </c>
      <c r="D10" s="20">
        <v>3809.01</v>
      </c>
      <c r="E10" s="13">
        <v>11040</v>
      </c>
      <c r="F10" s="21"/>
      <c r="G10" s="15"/>
      <c r="H10" s="22"/>
      <c r="I10" s="15"/>
      <c r="J10" s="22">
        <v>0</v>
      </c>
    </row>
    <row r="11" spans="1:10" ht="22.5" customHeight="1" thickBot="1">
      <c r="A11" s="19" t="s">
        <v>45</v>
      </c>
      <c r="B11" s="13">
        <v>4862.9</v>
      </c>
      <c r="C11" s="13">
        <v>5000</v>
      </c>
      <c r="D11" s="20">
        <f>3811.12+2859.72</f>
        <v>6670.84</v>
      </c>
      <c r="E11" s="13">
        <v>18734</v>
      </c>
      <c r="F11" s="21" t="s">
        <v>48</v>
      </c>
      <c r="G11" s="15">
        <v>8164.95</v>
      </c>
      <c r="H11" s="22">
        <f>3000+12000+1100+3900</f>
        <v>20000</v>
      </c>
      <c r="I11" s="23">
        <v>28263.77</v>
      </c>
      <c r="J11" s="22">
        <v>37500</v>
      </c>
    </row>
    <row r="12" spans="1:10" ht="22.5" customHeight="1" thickBot="1">
      <c r="A12" s="19" t="s">
        <v>69</v>
      </c>
      <c r="B12" s="13">
        <v>-2627.7</v>
      </c>
      <c r="C12" s="13"/>
      <c r="D12" s="20">
        <v>1440.1</v>
      </c>
      <c r="E12" s="13">
        <v>0</v>
      </c>
      <c r="F12" s="21"/>
      <c r="G12" s="15"/>
      <c r="H12" s="24"/>
      <c r="I12" s="15"/>
      <c r="J12" s="24">
        <v>0</v>
      </c>
    </row>
    <row r="13" spans="1:10" ht="22.5" customHeight="1" thickBot="1">
      <c r="A13" s="25" t="s">
        <v>6</v>
      </c>
      <c r="B13" s="26">
        <f>SUM(B14:B18)</f>
        <v>56465.81</v>
      </c>
      <c r="C13" s="26">
        <f>SUM(C14:C18)</f>
        <v>50300</v>
      </c>
      <c r="D13" s="26">
        <f>SUM(D14:D18)</f>
        <v>45004.51000000001</v>
      </c>
      <c r="E13" s="26">
        <f>SUM(E14:E18)</f>
        <v>60220</v>
      </c>
      <c r="F13" s="27" t="s">
        <v>5</v>
      </c>
      <c r="G13" s="28">
        <f>SUM(G14:G31)</f>
        <v>161590.27</v>
      </c>
      <c r="H13" s="28">
        <f>SUM(H14:H31)</f>
        <v>193916</v>
      </c>
      <c r="I13" s="28">
        <f>SUM(I14:I31)</f>
        <v>139836.35</v>
      </c>
      <c r="J13" s="28">
        <f>SUM(J14:J31)</f>
        <v>186080</v>
      </c>
    </row>
    <row r="14" spans="1:10" ht="22.5" customHeight="1" thickBot="1">
      <c r="A14" s="19" t="s">
        <v>49</v>
      </c>
      <c r="B14" s="13"/>
      <c r="C14" s="13"/>
      <c r="D14" s="13"/>
      <c r="E14" s="20">
        <v>10750</v>
      </c>
      <c r="F14" s="29" t="s">
        <v>76</v>
      </c>
      <c r="G14" s="30"/>
      <c r="H14" s="22">
        <v>7300</v>
      </c>
      <c r="I14" s="23">
        <v>7300</v>
      </c>
      <c r="J14" s="22">
        <v>10000</v>
      </c>
    </row>
    <row r="15" spans="1:10" ht="22.5" customHeight="1" thickBot="1">
      <c r="A15" s="19" t="s">
        <v>63</v>
      </c>
      <c r="B15" s="13">
        <v>45896.65</v>
      </c>
      <c r="C15" s="13">
        <v>44000</v>
      </c>
      <c r="D15" s="20">
        <f>19876.06+8544.75+8313.18+1400+604.8+1246.87</f>
        <v>39985.66000000001</v>
      </c>
      <c r="E15" s="13">
        <v>40330</v>
      </c>
      <c r="F15" s="29" t="s">
        <v>77</v>
      </c>
      <c r="G15" s="30">
        <f>59100+11000</f>
        <v>70100</v>
      </c>
      <c r="H15" s="22">
        <v>85000</v>
      </c>
      <c r="I15" s="23">
        <v>46000</v>
      </c>
      <c r="J15" s="22">
        <v>61500</v>
      </c>
    </row>
    <row r="16" spans="1:10" ht="22.5" customHeight="1" thickBot="1">
      <c r="A16" s="19" t="s">
        <v>7</v>
      </c>
      <c r="B16" s="13">
        <v>3751.93</v>
      </c>
      <c r="C16" s="13">
        <v>3800</v>
      </c>
      <c r="D16" s="20">
        <v>3917.85</v>
      </c>
      <c r="E16" s="13">
        <v>6000</v>
      </c>
      <c r="F16" s="31" t="s">
        <v>8</v>
      </c>
      <c r="G16" s="30">
        <f>64548.31+13080</f>
        <v>77628.31</v>
      </c>
      <c r="H16" s="22">
        <f>43000+19800+1090*12</f>
        <v>75880</v>
      </c>
      <c r="I16" s="23">
        <f>13080+61212.35</f>
        <v>74292.35</v>
      </c>
      <c r="J16" s="22">
        <v>100580</v>
      </c>
    </row>
    <row r="17" spans="1:10" ht="22.5" customHeight="1" thickBot="1">
      <c r="A17" s="32" t="s">
        <v>9</v>
      </c>
      <c r="B17" s="13">
        <v>1016</v>
      </c>
      <c r="C17" s="13">
        <v>1000</v>
      </c>
      <c r="D17" s="20"/>
      <c r="E17" s="13">
        <v>1140</v>
      </c>
      <c r="F17" s="31" t="s">
        <v>11</v>
      </c>
      <c r="G17" s="23"/>
      <c r="H17" s="22"/>
      <c r="I17" s="15"/>
      <c r="J17" s="22">
        <v>0</v>
      </c>
    </row>
    <row r="18" spans="1:10" ht="18.75" customHeight="1" thickBot="1">
      <c r="A18" s="32" t="s">
        <v>68</v>
      </c>
      <c r="B18" s="33">
        <v>5801.23</v>
      </c>
      <c r="C18" s="13">
        <v>1500</v>
      </c>
      <c r="D18" s="34">
        <v>1101</v>
      </c>
      <c r="E18" s="13">
        <v>2000</v>
      </c>
      <c r="F18" s="35" t="s">
        <v>56</v>
      </c>
      <c r="G18" s="36"/>
      <c r="H18" s="22"/>
      <c r="I18" s="36"/>
      <c r="J18" s="22">
        <v>0</v>
      </c>
    </row>
    <row r="19" spans="1:10" ht="16.5" customHeight="1" thickBot="1">
      <c r="A19" s="37" t="s">
        <v>10</v>
      </c>
      <c r="B19" s="17">
        <f>SUM(B20:B27)</f>
        <v>335727.23</v>
      </c>
      <c r="C19" s="26">
        <f>+SUM(C20:C26)</f>
        <v>320300</v>
      </c>
      <c r="D19" s="17">
        <f>SUM(D20:D27)</f>
        <v>325087.18000000005</v>
      </c>
      <c r="E19" s="17">
        <f>SUM(E20:E27)</f>
        <v>373069</v>
      </c>
      <c r="F19" s="38" t="s">
        <v>57</v>
      </c>
      <c r="G19" s="30"/>
      <c r="H19" s="22"/>
      <c r="I19" s="30"/>
      <c r="J19" s="22">
        <v>0</v>
      </c>
    </row>
    <row r="20" spans="1:10" ht="27.75" customHeight="1" thickBot="1">
      <c r="A20" s="19" t="s">
        <v>50</v>
      </c>
      <c r="B20" s="13">
        <v>48236.36</v>
      </c>
      <c r="C20" s="13">
        <v>52500</v>
      </c>
      <c r="D20" s="20">
        <f>11580+48675.33+8390.19+16329.6+420</f>
        <v>85395.12000000001</v>
      </c>
      <c r="E20" s="13">
        <v>90854</v>
      </c>
      <c r="F20" s="29"/>
      <c r="G20" s="30"/>
      <c r="H20" s="22"/>
      <c r="I20" s="30"/>
      <c r="J20" s="22">
        <v>0</v>
      </c>
    </row>
    <row r="21" spans="1:10" ht="27.75" customHeight="1" thickBot="1">
      <c r="A21" s="19" t="s">
        <v>51</v>
      </c>
      <c r="B21" s="13">
        <v>13736.63</v>
      </c>
      <c r="C21" s="13">
        <v>13000</v>
      </c>
      <c r="D21" s="20">
        <f>1729.34+10948.89</f>
        <v>12678.23</v>
      </c>
      <c r="E21" s="13">
        <v>22000</v>
      </c>
      <c r="F21" s="29" t="s">
        <v>18</v>
      </c>
      <c r="G21" s="30"/>
      <c r="H21" s="22"/>
      <c r="I21" s="30"/>
      <c r="J21" s="22">
        <v>0</v>
      </c>
    </row>
    <row r="22" spans="1:10" ht="27.75" customHeight="1" thickBot="1">
      <c r="A22" s="19" t="s">
        <v>52</v>
      </c>
      <c r="B22" s="13">
        <v>263071.99</v>
      </c>
      <c r="C22" s="13">
        <f>244700</f>
        <v>244700</v>
      </c>
      <c r="D22" s="20">
        <v>213338.95</v>
      </c>
      <c r="E22" s="13">
        <v>243840</v>
      </c>
      <c r="F22" s="29"/>
      <c r="G22" s="30"/>
      <c r="H22" s="22"/>
      <c r="I22" s="30"/>
      <c r="J22" s="22">
        <v>0</v>
      </c>
    </row>
    <row r="23" spans="1:10" ht="27.75" customHeight="1" thickBot="1">
      <c r="A23" s="19" t="s">
        <v>53</v>
      </c>
      <c r="B23" s="13"/>
      <c r="C23" s="13"/>
      <c r="D23" s="20">
        <v>1653</v>
      </c>
      <c r="E23" s="13">
        <v>2000</v>
      </c>
      <c r="F23" s="29" t="s">
        <v>70</v>
      </c>
      <c r="G23" s="30">
        <v>4793.96</v>
      </c>
      <c r="H23" s="22"/>
      <c r="I23" s="30"/>
      <c r="J23" s="22">
        <v>0</v>
      </c>
    </row>
    <row r="24" spans="1:10" ht="27.75" customHeight="1" thickBot="1">
      <c r="A24" s="19" t="s">
        <v>54</v>
      </c>
      <c r="B24" s="13">
        <v>9443.05</v>
      </c>
      <c r="C24" s="13">
        <v>9000</v>
      </c>
      <c r="D24" s="20">
        <f>5215.01+3875.29+1516.68</f>
        <v>10606.98</v>
      </c>
      <c r="E24" s="13">
        <v>11000</v>
      </c>
      <c r="F24" s="29"/>
      <c r="G24" s="30"/>
      <c r="H24" s="22"/>
      <c r="I24" s="30"/>
      <c r="J24" s="22">
        <v>0</v>
      </c>
    </row>
    <row r="25" spans="1:10" ht="22.5" customHeight="1" thickBot="1">
      <c r="A25" s="19" t="s">
        <v>12</v>
      </c>
      <c r="B25" s="13">
        <v>579.2</v>
      </c>
      <c r="C25" s="13">
        <v>500</v>
      </c>
      <c r="D25" s="20">
        <v>350.9</v>
      </c>
      <c r="E25" s="13">
        <v>500</v>
      </c>
      <c r="F25" s="29" t="s">
        <v>73</v>
      </c>
      <c r="G25" s="30"/>
      <c r="H25" s="22">
        <v>6200</v>
      </c>
      <c r="I25" s="30"/>
      <c r="J25" s="22">
        <v>0</v>
      </c>
    </row>
    <row r="26" spans="1:10" ht="22.5" customHeight="1" thickBot="1">
      <c r="A26" s="32" t="s">
        <v>78</v>
      </c>
      <c r="B26" s="13">
        <v>660</v>
      </c>
      <c r="C26" s="13">
        <v>600</v>
      </c>
      <c r="D26" s="20">
        <v>1064</v>
      </c>
      <c r="E26" s="13">
        <v>2875</v>
      </c>
      <c r="F26" s="29" t="s">
        <v>58</v>
      </c>
      <c r="G26" s="30"/>
      <c r="H26" s="22"/>
      <c r="I26" s="30"/>
      <c r="J26" s="22">
        <v>0</v>
      </c>
    </row>
    <row r="27" spans="1:10" ht="22.5" customHeight="1" thickBot="1">
      <c r="A27" s="39"/>
      <c r="B27" s="13"/>
      <c r="C27" s="13"/>
      <c r="D27" s="13"/>
      <c r="E27" s="13">
        <v>0</v>
      </c>
      <c r="F27" s="29" t="s">
        <v>59</v>
      </c>
      <c r="G27" s="30"/>
      <c r="H27" s="22">
        <f>6100+536</f>
        <v>6636</v>
      </c>
      <c r="I27" s="30"/>
      <c r="J27" s="22">
        <v>0</v>
      </c>
    </row>
    <row r="28" spans="1:10" ht="22.5" customHeight="1" thickBot="1">
      <c r="A28" s="25" t="s">
        <v>13</v>
      </c>
      <c r="B28" s="26">
        <f>SUM(B29:B31)</f>
        <v>4222.38</v>
      </c>
      <c r="C28" s="26">
        <f>SUM(C29:C31)</f>
        <v>4300</v>
      </c>
      <c r="D28" s="26">
        <f>SUM(D29:D31)</f>
        <v>4278.97</v>
      </c>
      <c r="E28" s="26">
        <f>SUM(E29:E31)</f>
        <v>4300</v>
      </c>
      <c r="F28" s="29" t="s">
        <v>60</v>
      </c>
      <c r="G28" s="30">
        <v>5700</v>
      </c>
      <c r="H28" s="22">
        <f>2500+3200</f>
        <v>5700</v>
      </c>
      <c r="I28" s="23">
        <v>5700</v>
      </c>
      <c r="J28" s="22">
        <v>6700</v>
      </c>
    </row>
    <row r="29" spans="1:10" ht="22.5" customHeight="1" thickBot="1">
      <c r="A29" s="19" t="s">
        <v>15</v>
      </c>
      <c r="B29" s="13">
        <v>4222.38</v>
      </c>
      <c r="C29" s="13">
        <v>4300</v>
      </c>
      <c r="D29" s="13">
        <v>4278.97</v>
      </c>
      <c r="E29" s="13">
        <v>4300</v>
      </c>
      <c r="F29" s="29" t="s">
        <v>14</v>
      </c>
      <c r="G29" s="30"/>
      <c r="H29" s="22"/>
      <c r="I29" s="30"/>
      <c r="J29" s="22">
        <v>0</v>
      </c>
    </row>
    <row r="30" spans="1:10" ht="22.5" customHeight="1" thickBot="1">
      <c r="A30" s="19" t="s">
        <v>16</v>
      </c>
      <c r="B30" s="13"/>
      <c r="C30" s="13"/>
      <c r="D30" s="13"/>
      <c r="E30" s="13"/>
      <c r="F30" s="29" t="s">
        <v>65</v>
      </c>
      <c r="G30" s="30">
        <v>3368</v>
      </c>
      <c r="H30" s="22">
        <f>5500+300+900+500</f>
        <v>7200</v>
      </c>
      <c r="I30" s="23">
        <f>1374+110*47</f>
        <v>6544</v>
      </c>
      <c r="J30" s="22">
        <v>7300</v>
      </c>
    </row>
    <row r="31" spans="1:10" ht="22.5" customHeight="1" thickBot="1">
      <c r="A31" s="19"/>
      <c r="B31" s="13"/>
      <c r="C31" s="13"/>
      <c r="D31" s="13"/>
      <c r="E31" s="13">
        <v>0</v>
      </c>
      <c r="F31" s="29" t="s">
        <v>66</v>
      </c>
      <c r="G31" s="30"/>
      <c r="H31" s="22"/>
      <c r="I31" s="30"/>
      <c r="J31" s="22">
        <v>0</v>
      </c>
    </row>
    <row r="32" spans="1:10" ht="22.5" customHeight="1" thickBot="1">
      <c r="A32" s="25" t="s">
        <v>17</v>
      </c>
      <c r="B32" s="26">
        <f>SUM(B33:B35)</f>
        <v>316084.16000000003</v>
      </c>
      <c r="C32" s="26">
        <f>SUM(C33:C35)</f>
        <v>282500</v>
      </c>
      <c r="D32" s="26">
        <f>SUM(D33:D35)</f>
        <v>264437.50999999995</v>
      </c>
      <c r="E32" s="26">
        <f>SUM(E33:E35)</f>
        <v>268569.18</v>
      </c>
      <c r="F32" s="27" t="s">
        <v>23</v>
      </c>
      <c r="G32" s="28">
        <v>560764.45</v>
      </c>
      <c r="H32" s="28">
        <f>+H33+H34+H35</f>
        <v>513400</v>
      </c>
      <c r="I32" s="28">
        <f>+I33+I34+I35</f>
        <v>577093.99</v>
      </c>
      <c r="J32" s="28">
        <f>SUM(J33:J35)</f>
        <v>543614.18</v>
      </c>
    </row>
    <row r="33" spans="1:10" ht="22.5" customHeight="1" thickBot="1">
      <c r="A33" s="19" t="s">
        <v>19</v>
      </c>
      <c r="B33" s="13">
        <v>224619.5</v>
      </c>
      <c r="C33" s="13">
        <v>210500</v>
      </c>
      <c r="D33" s="20">
        <f>208540.24+1874.05</f>
        <v>210414.28999999998</v>
      </c>
      <c r="E33" s="13">
        <v>207851.94</v>
      </c>
      <c r="F33" s="29" t="s">
        <v>61</v>
      </c>
      <c r="G33" s="30">
        <v>437692.25</v>
      </c>
      <c r="H33" s="22">
        <f>390000+22500+22000+5500</f>
        <v>440000</v>
      </c>
      <c r="I33" s="30">
        <f>407865.99+26766.65+23633.33+7410</f>
        <v>465675.97000000003</v>
      </c>
      <c r="J33" s="22">
        <v>458500</v>
      </c>
    </row>
    <row r="34" spans="1:10" ht="22.5" customHeight="1" thickBot="1">
      <c r="A34" s="19" t="s">
        <v>20</v>
      </c>
      <c r="B34" s="13">
        <v>80639.95</v>
      </c>
      <c r="C34" s="13">
        <v>63000</v>
      </c>
      <c r="D34" s="20">
        <f>48392.31+2757.58+10781.75+907.27</f>
        <v>62838.909999999996</v>
      </c>
      <c r="E34" s="13">
        <v>64317.24</v>
      </c>
      <c r="F34" s="29" t="s">
        <v>67</v>
      </c>
      <c r="G34" s="30">
        <v>123072.2</v>
      </c>
      <c r="H34" s="22">
        <f>15000+40000+18400</f>
        <v>73400</v>
      </c>
      <c r="I34" s="30">
        <f>20528.33+41732.81+39010-5170</f>
        <v>96101.14</v>
      </c>
      <c r="J34" s="22">
        <v>71850</v>
      </c>
    </row>
    <row r="35" spans="1:10" ht="22.5" customHeight="1" thickBot="1">
      <c r="A35" s="19" t="s">
        <v>21</v>
      </c>
      <c r="B35" s="13">
        <f>5451.37+4351.67+1021.67</f>
        <v>10824.710000000001</v>
      </c>
      <c r="C35" s="13">
        <v>9000</v>
      </c>
      <c r="D35" s="20">
        <f>-8815.69</f>
        <v>-8815.69</v>
      </c>
      <c r="E35" s="13">
        <v>-3600</v>
      </c>
      <c r="F35" s="29" t="s">
        <v>81</v>
      </c>
      <c r="G35" s="30"/>
      <c r="H35" s="22"/>
      <c r="I35" s="30">
        <f>4528.72+10788.16</f>
        <v>15316.880000000001</v>
      </c>
      <c r="J35" s="22">
        <v>13264.18</v>
      </c>
    </row>
    <row r="36" spans="1:10" ht="22.5" customHeight="1" thickBot="1">
      <c r="A36" s="25" t="s">
        <v>22</v>
      </c>
      <c r="B36" s="28">
        <f>B37</f>
        <v>10945.81</v>
      </c>
      <c r="C36" s="28">
        <f>C37</f>
        <v>7500</v>
      </c>
      <c r="D36" s="28">
        <f>D37</f>
        <v>25760.87</v>
      </c>
      <c r="E36" s="28">
        <f>E37</f>
        <v>25000</v>
      </c>
      <c r="F36" s="40" t="s">
        <v>26</v>
      </c>
      <c r="G36" s="28">
        <v>6112.42</v>
      </c>
      <c r="H36" s="28">
        <f>H37</f>
        <v>4000</v>
      </c>
      <c r="I36" s="28">
        <f>I37</f>
        <v>5043.07</v>
      </c>
      <c r="J36" s="28">
        <f>+J37</f>
        <v>4000</v>
      </c>
    </row>
    <row r="37" spans="1:10" ht="22.5" customHeight="1" thickBot="1">
      <c r="A37" s="41"/>
      <c r="B37" s="42">
        <v>10945.81</v>
      </c>
      <c r="C37" s="13">
        <v>7500</v>
      </c>
      <c r="D37" s="42">
        <f>23025.73+65.14+2670</f>
        <v>25760.87</v>
      </c>
      <c r="E37" s="13">
        <v>25000</v>
      </c>
      <c r="F37" s="41" t="s">
        <v>72</v>
      </c>
      <c r="G37" s="43">
        <v>6112.42</v>
      </c>
      <c r="H37" s="15">
        <v>4000</v>
      </c>
      <c r="I37" s="44">
        <v>5043.07</v>
      </c>
      <c r="J37" s="15">
        <v>4000</v>
      </c>
    </row>
    <row r="38" spans="1:10" ht="22.5" customHeight="1" thickBot="1">
      <c r="A38" s="16" t="s">
        <v>24</v>
      </c>
      <c r="B38" s="17"/>
      <c r="C38" s="17"/>
      <c r="D38" s="17"/>
      <c r="E38" s="17">
        <v>0</v>
      </c>
      <c r="F38" s="45" t="s">
        <v>64</v>
      </c>
      <c r="G38" s="17">
        <v>15368.7</v>
      </c>
      <c r="H38" s="17">
        <f>4500+7500+3000+600</f>
        <v>15600</v>
      </c>
      <c r="I38" s="17">
        <v>780</v>
      </c>
      <c r="J38" s="17">
        <v>1000</v>
      </c>
    </row>
    <row r="39" spans="1:10" ht="22.5" customHeight="1" thickBot="1">
      <c r="A39" s="25" t="s">
        <v>25</v>
      </c>
      <c r="B39" s="28">
        <v>3184.19</v>
      </c>
      <c r="C39" s="28">
        <v>1436</v>
      </c>
      <c r="D39" s="28">
        <v>1000</v>
      </c>
      <c r="E39" s="28">
        <f>12393.42+500</f>
        <v>12893.42</v>
      </c>
      <c r="F39" s="18" t="s">
        <v>27</v>
      </c>
      <c r="G39" s="28">
        <v>4200</v>
      </c>
      <c r="H39" s="28">
        <v>3000</v>
      </c>
      <c r="I39" s="28">
        <f>1657.33+6200</f>
        <v>7857.33</v>
      </c>
      <c r="J39" s="28">
        <f>35393.42</f>
        <v>35393.42</v>
      </c>
    </row>
    <row r="40" spans="1:10" ht="18" customHeight="1" thickBot="1">
      <c r="A40" s="46" t="s">
        <v>71</v>
      </c>
      <c r="B40" s="26">
        <v>32702.31</v>
      </c>
      <c r="C40" s="26">
        <v>5000</v>
      </c>
      <c r="D40" s="26">
        <f>239.73+5338.05+7655+1174</f>
        <v>14406.779999999999</v>
      </c>
      <c r="E40" s="26">
        <v>7500</v>
      </c>
      <c r="F40" s="40" t="s">
        <v>55</v>
      </c>
      <c r="G40" s="28">
        <v>8900.48</v>
      </c>
      <c r="H40" s="28">
        <v>4920</v>
      </c>
      <c r="I40" s="28">
        <v>9638.94</v>
      </c>
      <c r="J40" s="28">
        <v>15000</v>
      </c>
    </row>
    <row r="41" spans="1:10" ht="22.5" customHeight="1" thickBot="1">
      <c r="A41" s="47" t="s">
        <v>28</v>
      </c>
      <c r="B41" s="48">
        <f>B5</f>
        <v>847743.9600000001</v>
      </c>
      <c r="C41" s="48">
        <f>C5</f>
        <v>754836</v>
      </c>
      <c r="D41" s="48">
        <f>D5</f>
        <v>733120.0299999999</v>
      </c>
      <c r="E41" s="48">
        <f>E5</f>
        <v>822587.6</v>
      </c>
      <c r="F41" s="49" t="s">
        <v>29</v>
      </c>
      <c r="G41" s="48">
        <f>G5</f>
        <v>765221.2699999999</v>
      </c>
      <c r="H41" s="48">
        <f>H5</f>
        <v>754836</v>
      </c>
      <c r="I41" s="48">
        <f>I5</f>
        <v>768513.4499999998</v>
      </c>
      <c r="J41" s="48">
        <f>J5</f>
        <v>822587.6000000001</v>
      </c>
    </row>
    <row r="42" spans="1:10" ht="22.5" customHeight="1" thickBot="1">
      <c r="A42" s="50" t="s">
        <v>30</v>
      </c>
      <c r="B42" s="51">
        <f>SUM(B43:B46)</f>
        <v>226205</v>
      </c>
      <c r="C42" s="51">
        <f>SUM(C43:C46)</f>
        <v>228000</v>
      </c>
      <c r="D42" s="51">
        <f>SUM(D43:D46)</f>
        <v>259115.04</v>
      </c>
      <c r="E42" s="51">
        <f>SUM(E43:E46)</f>
        <v>265000</v>
      </c>
      <c r="F42" s="52" t="s">
        <v>31</v>
      </c>
      <c r="G42" s="36">
        <f>SUM(G43:G46)</f>
        <v>226205</v>
      </c>
      <c r="H42" s="36">
        <f>SUM(H43:H46)</f>
        <v>228000</v>
      </c>
      <c r="I42" s="36">
        <f>SUM(I43:I46)</f>
        <v>259115.04</v>
      </c>
      <c r="J42" s="36">
        <f>SUM(J43:J46)</f>
        <v>265000</v>
      </c>
    </row>
    <row r="43" spans="1:10" ht="18" customHeight="1" thickBot="1">
      <c r="A43" s="19" t="s">
        <v>32</v>
      </c>
      <c r="B43" s="13"/>
      <c r="C43" s="13"/>
      <c r="D43" s="13"/>
      <c r="E43" s="13">
        <v>0</v>
      </c>
      <c r="F43" s="29" t="s">
        <v>33</v>
      </c>
      <c r="G43" s="15">
        <f>+B43</f>
        <v>0</v>
      </c>
      <c r="H43" s="15">
        <f>+C43</f>
        <v>0</v>
      </c>
      <c r="I43" s="15">
        <f>D43</f>
        <v>0</v>
      </c>
      <c r="J43" s="15">
        <f>+E43</f>
        <v>0</v>
      </c>
    </row>
    <row r="44" spans="1:10" ht="22.5" customHeight="1" thickBot="1">
      <c r="A44" s="19" t="s">
        <v>34</v>
      </c>
      <c r="B44" s="13"/>
      <c r="C44" s="13"/>
      <c r="D44" s="13">
        <v>38615.04</v>
      </c>
      <c r="E44" s="13">
        <v>40000</v>
      </c>
      <c r="F44" s="29" t="s">
        <v>35</v>
      </c>
      <c r="G44" s="15">
        <f aca="true" t="shared" si="0" ref="G44:H46">B44</f>
        <v>0</v>
      </c>
      <c r="H44" s="15">
        <f t="shared" si="0"/>
        <v>0</v>
      </c>
      <c r="I44" s="15">
        <f>D44</f>
        <v>38615.04</v>
      </c>
      <c r="J44" s="15">
        <f>+E44</f>
        <v>40000</v>
      </c>
    </row>
    <row r="45" spans="1:10" ht="22.5" customHeight="1" thickBot="1">
      <c r="A45" s="19" t="s">
        <v>36</v>
      </c>
      <c r="B45" s="13">
        <v>8505</v>
      </c>
      <c r="C45" s="13">
        <v>8000</v>
      </c>
      <c r="D45" s="13"/>
      <c r="E45" s="13"/>
      <c r="F45" s="29" t="s">
        <v>37</v>
      </c>
      <c r="G45" s="15">
        <f t="shared" si="0"/>
        <v>8505</v>
      </c>
      <c r="H45" s="15">
        <f t="shared" si="0"/>
        <v>8000</v>
      </c>
      <c r="I45" s="15">
        <f>D45</f>
        <v>0</v>
      </c>
      <c r="J45" s="15">
        <f>+E45</f>
        <v>0</v>
      </c>
    </row>
    <row r="46" spans="1:10" ht="22.5" customHeight="1" thickBot="1">
      <c r="A46" s="19" t="s">
        <v>38</v>
      </c>
      <c r="B46" s="13">
        <v>217700</v>
      </c>
      <c r="C46" s="13">
        <v>220000</v>
      </c>
      <c r="D46" s="13">
        <v>220500</v>
      </c>
      <c r="E46" s="13">
        <v>225000</v>
      </c>
      <c r="F46" s="29" t="s">
        <v>38</v>
      </c>
      <c r="G46" s="15">
        <f t="shared" si="0"/>
        <v>217700</v>
      </c>
      <c r="H46" s="15">
        <f t="shared" si="0"/>
        <v>220000</v>
      </c>
      <c r="I46" s="15">
        <f>D46</f>
        <v>220500</v>
      </c>
      <c r="J46" s="15">
        <f>+E46</f>
        <v>225000</v>
      </c>
    </row>
    <row r="47" spans="1:10" ht="22.5" customHeight="1" thickBot="1">
      <c r="A47" s="53" t="s">
        <v>39</v>
      </c>
      <c r="B47" s="48">
        <f>B41+B42</f>
        <v>1073948.96</v>
      </c>
      <c r="C47" s="48">
        <f>C41+C42</f>
        <v>982836</v>
      </c>
      <c r="D47" s="48">
        <f>D41+D42</f>
        <v>992235.07</v>
      </c>
      <c r="E47" s="48">
        <f>E41+E42</f>
        <v>1087587.6</v>
      </c>
      <c r="F47" s="54" t="s">
        <v>39</v>
      </c>
      <c r="G47" s="48">
        <f>G41+G42</f>
        <v>991426.2699999999</v>
      </c>
      <c r="H47" s="48">
        <f>H41+H42</f>
        <v>982836</v>
      </c>
      <c r="I47" s="48">
        <f>I41+I42</f>
        <v>1027628.4899999999</v>
      </c>
      <c r="J47" s="48">
        <f>J41+J42</f>
        <v>1087587.6</v>
      </c>
    </row>
    <row r="48" spans="1:10" ht="22.5" customHeight="1">
      <c r="A48" s="5"/>
      <c r="B48" s="5"/>
      <c r="C48" s="5"/>
      <c r="D48" s="5"/>
      <c r="E48" s="5"/>
      <c r="F48" s="6"/>
      <c r="G48" s="6"/>
      <c r="H48" s="7"/>
      <c r="I48" s="5"/>
      <c r="J48" s="7"/>
    </row>
    <row r="49" spans="1:10" ht="15.75" customHeight="1">
      <c r="A49" s="5"/>
      <c r="B49" s="5"/>
      <c r="C49" s="5"/>
      <c r="D49" s="3"/>
      <c r="E49" s="5"/>
      <c r="F49" s="6" t="s">
        <v>40</v>
      </c>
      <c r="G49" s="55">
        <f>-(B41-G41)</f>
        <v>-82522.69000000018</v>
      </c>
      <c r="H49" s="56">
        <f>C41-H41</f>
        <v>0</v>
      </c>
      <c r="I49" s="57">
        <f>-D41+I41</f>
        <v>35393.419999999925</v>
      </c>
      <c r="J49" s="58">
        <f>-(E41-J41)</f>
        <v>1.1641532182693481E-10</v>
      </c>
    </row>
    <row r="50" ht="14.25">
      <c r="D50" s="3"/>
    </row>
    <row r="51" ht="14.25">
      <c r="D51" s="3"/>
    </row>
    <row r="52" ht="14.25">
      <c r="D52" s="3"/>
    </row>
    <row r="55" ht="14.25">
      <c r="D55" s="3"/>
    </row>
    <row r="65" ht="14.25">
      <c r="I65" s="3"/>
    </row>
    <row r="66" ht="14.25">
      <c r="I66" s="3"/>
    </row>
    <row r="67" ht="14.25">
      <c r="I67" s="3"/>
    </row>
    <row r="68" ht="14.25">
      <c r="I68" s="3"/>
    </row>
    <row r="69" ht="14.25">
      <c r="I69" s="3"/>
    </row>
    <row r="70" ht="14.25">
      <c r="I70" s="3"/>
    </row>
    <row r="71" ht="14.25">
      <c r="I71" s="3"/>
    </row>
  </sheetData>
  <sheetProtection password="FE67" sheet="1"/>
  <mergeCells count="1">
    <mergeCell ref="A2:J2"/>
  </mergeCells>
  <printOptions/>
  <pageMargins left="0" right="0" top="0" bottom="0" header="0.31496062992125984" footer="0.31496062992125984"/>
  <pageSetup fitToHeight="1" fitToWidth="1" horizontalDpi="300" verticalDpi="300" orientation="landscape" paperSize="9" scale="56" r:id="rId3"/>
  <ignoredErrors>
    <ignoredError sqref="C1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 Rouquier</dc:creator>
  <cp:keywords/>
  <dc:description/>
  <cp:lastModifiedBy>Utilisateur</cp:lastModifiedBy>
  <cp:lastPrinted>2020-03-08T05:33:09Z</cp:lastPrinted>
  <dcterms:created xsi:type="dcterms:W3CDTF">2017-12-02T15:54:32Z</dcterms:created>
  <dcterms:modified xsi:type="dcterms:W3CDTF">2020-10-15T12:23:01Z</dcterms:modified>
  <cp:category/>
  <cp:version/>
  <cp:contentType/>
  <cp:contentStatus/>
</cp:coreProperties>
</file>