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s Asso\LANA\2019 LANA\Commissions\Com Dir\2019 03 02\"/>
    </mc:Choice>
  </mc:AlternateContent>
  <xr:revisionPtr revIDLastSave="0" documentId="13_ncr:1_{62A840CF-4845-4D5D-A671-85F9EFB8CE9D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CR FINANCIER 2018 pour AG" sheetId="20" r:id="rId1"/>
    <sheet name="SYNTHESE 31 décembre 2018" sheetId="13" r:id="rId2"/>
    <sheet name="DIAPORAMA" sheetId="21" r:id="rId3"/>
    <sheet name="Synthèse " sheetId="4" state="hidden" r:id="rId4"/>
  </sheets>
  <externalReferences>
    <externalReference r:id="rId5"/>
    <externalReference r:id="rId6"/>
  </externalReferences>
  <definedNames>
    <definedName name="_xlnm.Print_Area" localSheetId="0">'CR FINANCIER 2018 pour AG'!$A$1:$M$162</definedName>
    <definedName name="_xlnm.Print_Area" localSheetId="2">DIAPORAMA!#REF!</definedName>
    <definedName name="_xlnm.Print_Area" localSheetId="1">'SYNTHESE 31 décembre 2018'!$A$1:$G$78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20" l="1"/>
  <c r="E148" i="20"/>
  <c r="K152" i="20"/>
  <c r="E149" i="20" l="1"/>
  <c r="E144" i="20" l="1"/>
  <c r="E11" i="20"/>
  <c r="E26" i="20"/>
  <c r="G26" i="20" s="1"/>
  <c r="E34" i="20"/>
  <c r="F34" i="20" s="1"/>
  <c r="E38" i="20"/>
  <c r="E45" i="20"/>
  <c r="E53" i="20"/>
  <c r="G53" i="20" s="1"/>
  <c r="E65" i="20"/>
  <c r="G65" i="20" s="1"/>
  <c r="E70" i="20"/>
  <c r="E81" i="20"/>
  <c r="E92" i="20"/>
  <c r="E95" i="20"/>
  <c r="G95" i="20" s="1"/>
  <c r="E98" i="20"/>
  <c r="E101" i="20"/>
  <c r="E104" i="20"/>
  <c r="F104" i="20" s="1"/>
  <c r="E114" i="20"/>
  <c r="F114" i="20" s="1"/>
  <c r="E117" i="20"/>
  <c r="E127" i="20"/>
  <c r="E132" i="20"/>
  <c r="E135" i="20"/>
  <c r="F135" i="20" s="1"/>
  <c r="K150" i="20"/>
  <c r="K155" i="20" s="1"/>
  <c r="K9" i="20"/>
  <c r="K13" i="20"/>
  <c r="K17" i="20" s="1"/>
  <c r="K24" i="20"/>
  <c r="L24" i="20" s="1"/>
  <c r="K29" i="20"/>
  <c r="K40" i="20"/>
  <c r="L40" i="20" s="1"/>
  <c r="K53" i="20"/>
  <c r="K59" i="20" s="1"/>
  <c r="K55" i="20"/>
  <c r="L55" i="20" s="1"/>
  <c r="K63" i="20"/>
  <c r="K72" i="20"/>
  <c r="K76" i="20"/>
  <c r="L76" i="20" s="1"/>
  <c r="K84" i="20"/>
  <c r="K87" i="20" s="1"/>
  <c r="K91" i="20"/>
  <c r="K94" i="20"/>
  <c r="K107" i="20" s="1"/>
  <c r="K97" i="20"/>
  <c r="K103" i="20"/>
  <c r="L103" i="20" s="1"/>
  <c r="K119" i="20"/>
  <c r="K123" i="20"/>
  <c r="E64" i="13" s="1"/>
  <c r="B35" i="21" s="1"/>
  <c r="K130" i="20"/>
  <c r="K132" i="20"/>
  <c r="K134" i="20"/>
  <c r="L134" i="20" s="1"/>
  <c r="K138" i="20"/>
  <c r="L153" i="20"/>
  <c r="C153" i="20"/>
  <c r="I152" i="20"/>
  <c r="J155" i="20"/>
  <c r="F152" i="20"/>
  <c r="L151" i="20"/>
  <c r="F148" i="20"/>
  <c r="B147" i="20"/>
  <c r="F147" i="20" s="1"/>
  <c r="B146" i="20"/>
  <c r="F146" i="20"/>
  <c r="C144" i="20"/>
  <c r="F143" i="20"/>
  <c r="F142" i="20"/>
  <c r="J138" i="20"/>
  <c r="D67" i="13" s="1"/>
  <c r="C136" i="20"/>
  <c r="D138" i="20" s="1"/>
  <c r="D27" i="13" s="1"/>
  <c r="C132" i="20"/>
  <c r="L130" i="20"/>
  <c r="L129" i="20"/>
  <c r="L128" i="20"/>
  <c r="L127" i="20"/>
  <c r="J123" i="20"/>
  <c r="C121" i="20"/>
  <c r="F120" i="20"/>
  <c r="L117" i="20"/>
  <c r="C117" i="20"/>
  <c r="L116" i="20"/>
  <c r="F116" i="20"/>
  <c r="L115" i="20"/>
  <c r="L114" i="20"/>
  <c r="C114" i="20"/>
  <c r="F112" i="20"/>
  <c r="F111" i="20"/>
  <c r="J107" i="20"/>
  <c r="C105" i="20"/>
  <c r="C101" i="20"/>
  <c r="G101" i="20" s="1"/>
  <c r="L100" i="20"/>
  <c r="F100" i="20"/>
  <c r="L98" i="20"/>
  <c r="C98" i="20"/>
  <c r="F98" i="20" s="1"/>
  <c r="L97" i="20"/>
  <c r="F97" i="20"/>
  <c r="C95" i="20"/>
  <c r="L94" i="20"/>
  <c r="F94" i="20"/>
  <c r="C92" i="20"/>
  <c r="F91" i="20"/>
  <c r="J87" i="20"/>
  <c r="L85" i="20"/>
  <c r="C85" i="20"/>
  <c r="F84" i="20"/>
  <c r="L83" i="20"/>
  <c r="L82" i="20"/>
  <c r="L81" i="20"/>
  <c r="C81" i="20"/>
  <c r="L80" i="20"/>
  <c r="F80" i="20"/>
  <c r="J76" i="20"/>
  <c r="D55" i="13" s="1"/>
  <c r="C74" i="20"/>
  <c r="F73" i="20"/>
  <c r="L72" i="20"/>
  <c r="L70" i="20"/>
  <c r="C70" i="20"/>
  <c r="F69" i="20"/>
  <c r="L68" i="20"/>
  <c r="F68" i="20"/>
  <c r="L67" i="20"/>
  <c r="L65" i="20"/>
  <c r="C65" i="20"/>
  <c r="F64" i="20"/>
  <c r="L63" i="20"/>
  <c r="F63" i="20"/>
  <c r="J59" i="20"/>
  <c r="D52" i="13" s="1"/>
  <c r="C57" i="20"/>
  <c r="F56" i="20"/>
  <c r="C53" i="20"/>
  <c r="F53" i="20" s="1"/>
  <c r="L52" i="20"/>
  <c r="F52" i="20"/>
  <c r="L51" i="20"/>
  <c r="F51" i="20"/>
  <c r="J47" i="20"/>
  <c r="J160" i="20" s="1"/>
  <c r="F44" i="20"/>
  <c r="L42" i="20"/>
  <c r="C42" i="20"/>
  <c r="F41" i="20"/>
  <c r="C38" i="20"/>
  <c r="L37" i="20"/>
  <c r="F37" i="20"/>
  <c r="F36" i="20"/>
  <c r="L34" i="20"/>
  <c r="C34" i="20"/>
  <c r="L33" i="20"/>
  <c r="F33" i="20"/>
  <c r="L32" i="20"/>
  <c r="F32" i="20"/>
  <c r="F29" i="20"/>
  <c r="L28" i="20"/>
  <c r="L26" i="20"/>
  <c r="C26" i="20"/>
  <c r="F26" i="20" s="1"/>
  <c r="L25" i="20"/>
  <c r="F25" i="20"/>
  <c r="F24" i="20"/>
  <c r="L23" i="20"/>
  <c r="F23" i="20"/>
  <c r="L22" i="20"/>
  <c r="F22" i="20"/>
  <c r="L21" i="20"/>
  <c r="F21" i="20"/>
  <c r="J17" i="20"/>
  <c r="C15" i="20"/>
  <c r="L14" i="20"/>
  <c r="F14" i="20"/>
  <c r="L11" i="20"/>
  <c r="C11" i="20"/>
  <c r="L10" i="20"/>
  <c r="F10" i="20"/>
  <c r="F9" i="20"/>
  <c r="L8" i="20"/>
  <c r="F8" i="20"/>
  <c r="L7" i="20"/>
  <c r="F7" i="20"/>
  <c r="D46" i="13"/>
  <c r="D58" i="13"/>
  <c r="D49" i="13"/>
  <c r="D61" i="13"/>
  <c r="D64" i="13"/>
  <c r="G117" i="20"/>
  <c r="D70" i="13"/>
  <c r="D59" i="20"/>
  <c r="D12" i="13" s="1"/>
  <c r="G81" i="20"/>
  <c r="D17" i="20"/>
  <c r="L152" i="20"/>
  <c r="G38" i="20"/>
  <c r="G70" i="20"/>
  <c r="F81" i="20"/>
  <c r="L119" i="20"/>
  <c r="F38" i="20"/>
  <c r="G132" i="20"/>
  <c r="L9" i="20"/>
  <c r="D87" i="20"/>
  <c r="G11" i="20"/>
  <c r="G98" i="20"/>
  <c r="G92" i="20"/>
  <c r="F92" i="20"/>
  <c r="D107" i="20"/>
  <c r="D21" i="13" s="1"/>
  <c r="F11" i="20"/>
  <c r="G45" i="20"/>
  <c r="F45" i="20"/>
  <c r="L91" i="20"/>
  <c r="L150" i="20"/>
  <c r="D76" i="20"/>
  <c r="D15" i="13" s="1"/>
  <c r="F70" i="20"/>
  <c r="F101" i="20"/>
  <c r="D123" i="20"/>
  <c r="D24" i="13" s="1"/>
  <c r="F117" i="20"/>
  <c r="D18" i="13"/>
  <c r="D6" i="13"/>
  <c r="G22" i="4"/>
  <c r="D22" i="4"/>
  <c r="L59" i="20" l="1"/>
  <c r="M59" i="20"/>
  <c r="D75" i="13"/>
  <c r="E61" i="13"/>
  <c r="L107" i="20"/>
  <c r="M107" i="20"/>
  <c r="M76" i="20"/>
  <c r="C149" i="20"/>
  <c r="F65" i="20"/>
  <c r="F95" i="20"/>
  <c r="G34" i="20"/>
  <c r="G114" i="20"/>
  <c r="D47" i="20"/>
  <c r="D9" i="13" s="1"/>
  <c r="K47" i="20"/>
  <c r="L47" i="20" s="1"/>
  <c r="F144" i="20"/>
  <c r="G144" i="20"/>
  <c r="L155" i="20"/>
  <c r="E70" i="13"/>
  <c r="B37" i="21" s="1"/>
  <c r="M155" i="20"/>
  <c r="F64" i="13"/>
  <c r="G64" i="13"/>
  <c r="E58" i="13"/>
  <c r="B33" i="21" s="1"/>
  <c r="M87" i="20"/>
  <c r="L87" i="20"/>
  <c r="E49" i="13"/>
  <c r="B30" i="21" s="1"/>
  <c r="M47" i="20"/>
  <c r="E46" i="13"/>
  <c r="B29" i="21" s="1"/>
  <c r="M17" i="20"/>
  <c r="L17" i="20"/>
  <c r="K160" i="20"/>
  <c r="L138" i="20"/>
  <c r="M138" i="20"/>
  <c r="E52" i="13"/>
  <c r="B31" i="21" s="1"/>
  <c r="L84" i="20"/>
  <c r="L123" i="20"/>
  <c r="M123" i="20"/>
  <c r="L29" i="20"/>
  <c r="G61" i="13"/>
  <c r="E67" i="13"/>
  <c r="B36" i="21" s="1"/>
  <c r="L13" i="20"/>
  <c r="E55" i="13"/>
  <c r="B32" i="21" s="1"/>
  <c r="E28" i="20"/>
  <c r="E30" i="20" s="1"/>
  <c r="F30" i="20" s="1"/>
  <c r="E134" i="20"/>
  <c r="E136" i="20" s="1"/>
  <c r="E138" i="20" s="1"/>
  <c r="E119" i="20"/>
  <c r="F119" i="20" s="1"/>
  <c r="E103" i="20"/>
  <c r="E151" i="20"/>
  <c r="E153" i="20" s="1"/>
  <c r="G153" i="20" s="1"/>
  <c r="E55" i="20"/>
  <c r="E40" i="20"/>
  <c r="E72" i="20"/>
  <c r="E83" i="20"/>
  <c r="F149" i="20" l="1"/>
  <c r="G149" i="20"/>
  <c r="D155" i="20"/>
  <c r="D30" i="13" s="1"/>
  <c r="D35" i="13" s="1"/>
  <c r="F61" i="13"/>
  <c r="B34" i="21"/>
  <c r="F55" i="13"/>
  <c r="G55" i="13"/>
  <c r="F52" i="13"/>
  <c r="G52" i="13"/>
  <c r="E75" i="13"/>
  <c r="F46" i="13"/>
  <c r="G46" i="13"/>
  <c r="F49" i="13"/>
  <c r="G49" i="13"/>
  <c r="F58" i="13"/>
  <c r="G58" i="13"/>
  <c r="F67" i="13"/>
  <c r="G67" i="13"/>
  <c r="G70" i="13"/>
  <c r="F70" i="13"/>
  <c r="L160" i="20"/>
  <c r="M160" i="20"/>
  <c r="G136" i="20"/>
  <c r="G30" i="20"/>
  <c r="F134" i="20"/>
  <c r="E155" i="20"/>
  <c r="F153" i="20"/>
  <c r="E121" i="20"/>
  <c r="G121" i="20" s="1"/>
  <c r="F136" i="20"/>
  <c r="E105" i="20"/>
  <c r="F103" i="20"/>
  <c r="F151" i="20"/>
  <c r="E42" i="20"/>
  <c r="F40" i="20"/>
  <c r="E57" i="20"/>
  <c r="F55" i="20"/>
  <c r="F83" i="20"/>
  <c r="E85" i="20"/>
  <c r="E13" i="20"/>
  <c r="G138" i="20"/>
  <c r="E27" i="13"/>
  <c r="B9" i="21" s="1"/>
  <c r="F138" i="20"/>
  <c r="E74" i="20"/>
  <c r="F72" i="20"/>
  <c r="D160" i="20" l="1"/>
  <c r="F75" i="13"/>
  <c r="J75" i="13" s="1"/>
  <c r="G75" i="13"/>
  <c r="F121" i="20"/>
  <c r="E123" i="20"/>
  <c r="G123" i="20" s="1"/>
  <c r="E107" i="20"/>
  <c r="G105" i="20"/>
  <c r="F105" i="20"/>
  <c r="E30" i="13"/>
  <c r="B10" i="21" s="1"/>
  <c r="F155" i="20"/>
  <c r="G155" i="20"/>
  <c r="F57" i="20"/>
  <c r="G57" i="20"/>
  <c r="E59" i="20"/>
  <c r="G27" i="13"/>
  <c r="F27" i="13"/>
  <c r="E15" i="20"/>
  <c r="E76" i="20"/>
  <c r="G74" i="20"/>
  <c r="F74" i="20"/>
  <c r="G85" i="20"/>
  <c r="F85" i="20"/>
  <c r="E87" i="20"/>
  <c r="F42" i="20"/>
  <c r="G42" i="20"/>
  <c r="E47" i="20"/>
  <c r="E24" i="13" l="1"/>
  <c r="B8" i="21" s="1"/>
  <c r="F123" i="20"/>
  <c r="F107" i="20"/>
  <c r="E21" i="13"/>
  <c r="B7" i="21" s="1"/>
  <c r="G107" i="20"/>
  <c r="G30" i="13"/>
  <c r="F30" i="13"/>
  <c r="F59" i="20"/>
  <c r="E12" i="13"/>
  <c r="B4" i="21" s="1"/>
  <c r="G59" i="20"/>
  <c r="F47" i="20"/>
  <c r="G47" i="20"/>
  <c r="E9" i="13"/>
  <c r="B3" i="21" s="1"/>
  <c r="F76" i="20"/>
  <c r="E15" i="13"/>
  <c r="B5" i="21" s="1"/>
  <c r="G76" i="20"/>
  <c r="F24" i="13"/>
  <c r="G24" i="13"/>
  <c r="F87" i="20"/>
  <c r="E18" i="13"/>
  <c r="B6" i="21" s="1"/>
  <c r="G87" i="20"/>
  <c r="G15" i="20"/>
  <c r="F15" i="20"/>
  <c r="E17" i="20"/>
  <c r="F21" i="13" l="1"/>
  <c r="G21" i="13"/>
  <c r="E160" i="20"/>
  <c r="F17" i="20"/>
  <c r="E6" i="13"/>
  <c r="B2" i="21" s="1"/>
  <c r="G17" i="20"/>
  <c r="F15" i="13"/>
  <c r="G15" i="13"/>
  <c r="G12" i="13"/>
  <c r="F12" i="13"/>
  <c r="G9" i="13"/>
  <c r="F9" i="13"/>
  <c r="F18" i="13"/>
  <c r="G18" i="13"/>
  <c r="E35" i="13" l="1"/>
  <c r="G6" i="13"/>
  <c r="F6" i="13"/>
  <c r="K162" i="20"/>
  <c r="F160" i="20"/>
  <c r="G160" i="20"/>
  <c r="G35" i="13" l="1"/>
  <c r="E77" i="13"/>
  <c r="F35" i="13"/>
  <c r="J35" i="13" s="1"/>
</calcChain>
</file>

<file path=xl/sharedStrings.xml><?xml version="1.0" encoding="utf-8"?>
<sst xmlns="http://schemas.openxmlformats.org/spreadsheetml/2006/main" count="276" uniqueCount="153">
  <si>
    <t>1A. Championnats régionaux sur piste</t>
  </si>
  <si>
    <t>ACTIONS</t>
  </si>
  <si>
    <t>CHARGES</t>
  </si>
  <si>
    <t>RECETTES</t>
  </si>
  <si>
    <t>1 ATHLETISME PISTE</t>
  </si>
  <si>
    <t xml:space="preserve">          Championnats régionaux</t>
  </si>
  <si>
    <t xml:space="preserve">          Championnats Inter clubs</t>
  </si>
  <si>
    <t xml:space="preserve">         Salaires</t>
  </si>
  <si>
    <t xml:space="preserve">         Frais de fonctionnement</t>
  </si>
  <si>
    <t>Sous-total ATHLETISME PISTE</t>
  </si>
  <si>
    <t>1B. Salaires &amp; Fonctionnement</t>
  </si>
  <si>
    <t>2 SUIVI ATHLETES</t>
  </si>
  <si>
    <t>Sous-total SUIVI ATHLETES</t>
  </si>
  <si>
    <t>2A. Suivi athlètes POLE &amp; CER</t>
  </si>
  <si>
    <t xml:space="preserve">          Stages</t>
  </si>
  <si>
    <t xml:space="preserve">          Aides personalisées</t>
  </si>
  <si>
    <t xml:space="preserve">          Equipement</t>
  </si>
  <si>
    <t xml:space="preserve">          Entrainements</t>
  </si>
  <si>
    <t>Conseil Régional</t>
  </si>
  <si>
    <t xml:space="preserve">          Suivi scolaire/Sportif/Médical</t>
  </si>
  <si>
    <t>Crédit état</t>
  </si>
  <si>
    <t>2B. Suivi athlètes régionaux</t>
  </si>
  <si>
    <t xml:space="preserve">         Stages</t>
  </si>
  <si>
    <t>2D. Salaires &amp; Fonctionnement</t>
  </si>
  <si>
    <t>2C. Sélection équipe</t>
  </si>
  <si>
    <t xml:space="preserve">         Déplacements</t>
  </si>
  <si>
    <t>3 ATHLETISME DES JEUNES</t>
  </si>
  <si>
    <t>Sous-total ATHLETISME DES JEUNES</t>
  </si>
  <si>
    <t>3B. Salaires &amp; Fonctionnement</t>
  </si>
  <si>
    <t xml:space="preserve">          Sélection équipe</t>
  </si>
  <si>
    <t>3A. Suivi athlètes jeunes</t>
  </si>
  <si>
    <t>Sous-total ATHLETISME HORS STADE</t>
  </si>
  <si>
    <t>4 ATHLETISME HORS STADE</t>
  </si>
  <si>
    <t xml:space="preserve">          Courses labellisées</t>
  </si>
  <si>
    <t>Droits labellisation</t>
  </si>
  <si>
    <t>4A. Courses sur routes</t>
  </si>
  <si>
    <t>4C. Salaires &amp; Fonctionnement</t>
  </si>
  <si>
    <t xml:space="preserve">4B. Autres pratiques </t>
  </si>
  <si>
    <t>5 ATHLE SANTE LOISIRS</t>
  </si>
  <si>
    <t>Sous-total ATHLE SANTE LOISIRS</t>
  </si>
  <si>
    <t>5A. Promotion ASL</t>
  </si>
  <si>
    <t xml:space="preserve">          Développement de l'activité ASL</t>
  </si>
  <si>
    <t>5B. Salaires &amp; Fonctionnement</t>
  </si>
  <si>
    <t>CNDS / ARS</t>
  </si>
  <si>
    <t>Contribution des Comités départementaux HS</t>
  </si>
  <si>
    <t>6 FORMATIONS</t>
  </si>
  <si>
    <t>6A. Formation Dirigeants</t>
  </si>
  <si>
    <t xml:space="preserve">          Formation des officiels </t>
  </si>
  <si>
    <t>6B. Formation Officiels</t>
  </si>
  <si>
    <t xml:space="preserve">          Formation des dirigeants </t>
  </si>
  <si>
    <t xml:space="preserve">          Formation des entraineurs</t>
  </si>
  <si>
    <t>6C. Formation Entraineurs</t>
  </si>
  <si>
    <t xml:space="preserve">          Formation des salariés </t>
  </si>
  <si>
    <t>6D. Formation Salariés</t>
  </si>
  <si>
    <t>Conseil Régional / FFA / CNDS</t>
  </si>
  <si>
    <t>UNIFORMATION</t>
  </si>
  <si>
    <t>6E. Salaires &amp; Fonctionnement</t>
  </si>
  <si>
    <t>Sous-total FORMATION</t>
  </si>
  <si>
    <t xml:space="preserve">          Relations avec Comités</t>
  </si>
  <si>
    <t xml:space="preserve">          Relations autres (Clubs, Collectivités)</t>
  </si>
  <si>
    <t>7  STRUCTURATION DES CLUBS &amp; ANIMATION TERRITORIALE</t>
  </si>
  <si>
    <t>Sous-total  STRUCTURATION DES CLUBS &amp; ANIMATION TERRITORIALE</t>
  </si>
  <si>
    <t>7A. Relations</t>
  </si>
  <si>
    <t>7B. Gestion des adhérents et des clubs</t>
  </si>
  <si>
    <t>7C. Salaires &amp; Fonctionnement</t>
  </si>
  <si>
    <t>Cotisations clubs</t>
  </si>
  <si>
    <t>Cotisations licences</t>
  </si>
  <si>
    <t>Droits de mutation</t>
  </si>
  <si>
    <t>Labellisation FFA</t>
  </si>
  <si>
    <t>8 STRUCTURE REGIONALE</t>
  </si>
  <si>
    <t>Sous-total STRUCTURE REGIONALE</t>
  </si>
  <si>
    <t xml:space="preserve">          Assemblée Générale LANA &amp; FFA</t>
  </si>
  <si>
    <t>FFA aides AG fédérale</t>
  </si>
  <si>
    <t xml:space="preserve">          Bureau Exécutif</t>
  </si>
  <si>
    <t xml:space="preserve">          Commissions régionales</t>
  </si>
  <si>
    <t xml:space="preserve">          Comité Directeur</t>
  </si>
  <si>
    <t>8A. Structures régionales</t>
  </si>
  <si>
    <t>8B. Salaires &amp; Fonctionnement</t>
  </si>
  <si>
    <t xml:space="preserve">         Frais de fct (médailles &amp; récompenses)</t>
  </si>
  <si>
    <t>Agence de service et de paiement</t>
  </si>
  <si>
    <t>9 ADMINISTRATION</t>
  </si>
  <si>
    <t>Sous-total ADMINISTRATION</t>
  </si>
  <si>
    <t xml:space="preserve">          Site Internet</t>
  </si>
  <si>
    <t xml:space="preserve">          Affranchissements, Téléphone, Internet</t>
  </si>
  <si>
    <t xml:space="preserve">          Honoraires et autres services extérieurs</t>
  </si>
  <si>
    <t xml:space="preserve">          Fournitures, Locations, Entretien</t>
  </si>
  <si>
    <t xml:space="preserve">          Dotations aux amortissements</t>
  </si>
  <si>
    <t xml:space="preserve">        *** RESERVE</t>
  </si>
  <si>
    <t xml:space="preserve">         *** ALEA</t>
  </si>
  <si>
    <t>TOTAL GENERAL DES CHARGES</t>
  </si>
  <si>
    <t>TOTAL GENERAL DES RECETTES</t>
  </si>
  <si>
    <t xml:space="preserve">          Impôts, Assurances, Frais bancaires</t>
  </si>
  <si>
    <t>Droits inscription des clubs</t>
  </si>
  <si>
    <t xml:space="preserve">          Cross</t>
  </si>
  <si>
    <t xml:space="preserve">          Trail, Marche nordique</t>
  </si>
  <si>
    <t>Droits labellisation / Inscriptions clubs</t>
  </si>
  <si>
    <t xml:space="preserve">          Championnats Masters</t>
  </si>
  <si>
    <t>9C. Salaires &amp; Fonctionnement</t>
  </si>
  <si>
    <t>9B. Siège régional</t>
  </si>
  <si>
    <t>9A. Communication</t>
  </si>
  <si>
    <t>Partenariats</t>
  </si>
  <si>
    <t xml:space="preserve">Conseil régional </t>
  </si>
  <si>
    <t>Inscription hors ligue / Pénalités</t>
  </si>
  <si>
    <t>Inscriptions</t>
  </si>
  <si>
    <t>CNDS</t>
  </si>
  <si>
    <t>Inter communalité</t>
  </si>
  <si>
    <t>Organismes sociaux</t>
  </si>
  <si>
    <t>Prestations</t>
  </si>
  <si>
    <t>Pénalités</t>
  </si>
  <si>
    <t>Produits financiers</t>
  </si>
  <si>
    <t>Produits exceptionnels</t>
  </si>
  <si>
    <t>Fonds propres</t>
  </si>
  <si>
    <t xml:space="preserve"> ATHLETISME PISTE</t>
  </si>
  <si>
    <t xml:space="preserve"> SUIVI ATHLETES</t>
  </si>
  <si>
    <t xml:space="preserve"> ATHLETISME DES JEUNES</t>
  </si>
  <si>
    <t xml:space="preserve"> ATHLETISME HORS STADE</t>
  </si>
  <si>
    <t xml:space="preserve"> ATHLE SANTE LOISIRS</t>
  </si>
  <si>
    <t xml:space="preserve"> FORMATION</t>
  </si>
  <si>
    <t xml:space="preserve">  STRUCTURATION DES CLUBS &amp; ANIMATION TERRITORIALE</t>
  </si>
  <si>
    <t xml:space="preserve"> STRUCTURE REGIONALE</t>
  </si>
  <si>
    <t xml:space="preserve"> ADMINISTRATION</t>
  </si>
  <si>
    <t>SYNTHESE BUDGET EXERCICE 2018 LANA</t>
  </si>
  <si>
    <t>PREVISION</t>
  </si>
  <si>
    <t xml:space="preserve">CHARGES </t>
  </si>
  <si>
    <t>Réalisation</t>
  </si>
  <si>
    <t>Ecart</t>
  </si>
  <si>
    <t>RéalisatJon</t>
  </si>
  <si>
    <t>2A1. Salaires &amp; Fonctionnement POLE &amp; PER</t>
  </si>
  <si>
    <t>Stages</t>
  </si>
  <si>
    <t>2E. ETR</t>
  </si>
  <si>
    <t xml:space="preserve">         Fonctionnement ETR</t>
  </si>
  <si>
    <t xml:space="preserve"> % réalisation</t>
  </si>
  <si>
    <t>Relations avec Comités</t>
  </si>
  <si>
    <t xml:space="preserve">Conseil Régional / FFA </t>
  </si>
  <si>
    <t>TOTAL GENERAL DES PRODUITS (RECETTES)</t>
  </si>
  <si>
    <t>TOTAL GENERAL DES CHARGES (DEPENSES)</t>
  </si>
  <si>
    <t xml:space="preserve">Mise à Disposition </t>
  </si>
  <si>
    <t xml:space="preserve">          Labellisation clubs</t>
  </si>
  <si>
    <t>Reprise dette pénale</t>
  </si>
  <si>
    <t xml:space="preserve">         *** ALEAS</t>
  </si>
  <si>
    <t xml:space="preserve">          Championnat Cross</t>
  </si>
  <si>
    <t xml:space="preserve">          Sélection équipe marche</t>
  </si>
  <si>
    <t>Clubs radiés</t>
  </si>
  <si>
    <t xml:space="preserve">LANA  SUIVI REALISATION BUDGET  EXERCICE 2018 AU 31 décembre </t>
  </si>
  <si>
    <t>Dons</t>
  </si>
  <si>
    <t>1 ATHLETISME COMPETITION</t>
  </si>
  <si>
    <t>Sous-total ATHLETISME COMPETITION</t>
  </si>
  <si>
    <t>RESULTAT EXERCICE 2018</t>
  </si>
  <si>
    <t>LANA  COMPTE RENDU FINANCIER  EXERCICE AU 31/12/2018</t>
  </si>
  <si>
    <t>PRODUITS (RECETTES)</t>
  </si>
  <si>
    <t>CHARGES (DEPENSES)</t>
  </si>
  <si>
    <t>4 ATHLE HORS STADE</t>
  </si>
  <si>
    <t xml:space="preserve">RESULTAT EXERCICE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</si>
</sst>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0\ &quot;€&quot;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008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2" borderId="6" xfId="0" applyFont="1" applyFill="1" applyBorder="1" applyAlignment="1">
      <alignment horizontal="center"/>
    </xf>
    <xf numFmtId="0" fontId="1" fillId="0" borderId="8" xfId="0" applyFont="1" applyBorder="1"/>
    <xf numFmtId="0" fontId="1" fillId="0" borderId="10" xfId="0" applyFont="1" applyBorder="1"/>
    <xf numFmtId="0" fontId="1" fillId="0" borderId="14" xfId="0" applyFont="1" applyBorder="1"/>
    <xf numFmtId="0" fontId="3" fillId="0" borderId="15" xfId="0" applyFont="1" applyBorder="1"/>
    <xf numFmtId="0" fontId="3" fillId="0" borderId="18" xfId="0" applyFont="1" applyBorder="1"/>
    <xf numFmtId="0" fontId="2" fillId="2" borderId="15" xfId="0" applyFont="1" applyFill="1" applyBorder="1"/>
    <xf numFmtId="0" fontId="1" fillId="0" borderId="18" xfId="0" applyFont="1" applyBorder="1"/>
    <xf numFmtId="0" fontId="1" fillId="0" borderId="15" xfId="0" applyFont="1" applyBorder="1"/>
    <xf numFmtId="0" fontId="1" fillId="0" borderId="20" xfId="0" applyFont="1" applyBorder="1"/>
    <xf numFmtId="0" fontId="1" fillId="0" borderId="23" xfId="0" applyFont="1" applyBorder="1"/>
    <xf numFmtId="0" fontId="1" fillId="0" borderId="25" xfId="0" applyFont="1" applyBorder="1"/>
    <xf numFmtId="0" fontId="1" fillId="0" borderId="28" xfId="0" applyFont="1" applyBorder="1"/>
    <xf numFmtId="0" fontId="1" fillId="0" borderId="30" xfId="0" applyFont="1" applyBorder="1"/>
    <xf numFmtId="0" fontId="2" fillId="0" borderId="15" xfId="0" applyFont="1" applyBorder="1"/>
    <xf numFmtId="0" fontId="1" fillId="0" borderId="32" xfId="0" applyFont="1" applyBorder="1"/>
    <xf numFmtId="0" fontId="0" fillId="0" borderId="18" xfId="0" applyFont="1" applyBorder="1"/>
    <xf numFmtId="0" fontId="2" fillId="3" borderId="11" xfId="0" applyFont="1" applyFill="1" applyBorder="1"/>
    <xf numFmtId="164" fontId="1" fillId="3" borderId="4" xfId="0" applyNumberFormat="1" applyFont="1" applyFill="1" applyBorder="1"/>
    <xf numFmtId="164" fontId="1" fillId="3" borderId="7" xfId="0" applyNumberFormat="1" applyFont="1" applyFill="1" applyBorder="1"/>
    <xf numFmtId="0" fontId="1" fillId="3" borderId="11" xfId="0" applyFont="1" applyFill="1" applyBorder="1"/>
    <xf numFmtId="4" fontId="1" fillId="0" borderId="0" xfId="0" applyNumberFormat="1" applyFont="1"/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Border="1"/>
    <xf numFmtId="4" fontId="1" fillId="0" borderId="16" xfId="0" applyNumberFormat="1" applyFont="1" applyBorder="1"/>
    <xf numFmtId="4" fontId="1" fillId="0" borderId="21" xfId="0" applyNumberFormat="1" applyFont="1" applyBorder="1"/>
    <xf numFmtId="4" fontId="1" fillId="0" borderId="26" xfId="0" applyNumberFormat="1" applyFont="1" applyBorder="1"/>
    <xf numFmtId="49" fontId="5" fillId="0" borderId="0" xfId="0" applyNumberFormat="1" applyFont="1"/>
    <xf numFmtId="0" fontId="3" fillId="0" borderId="43" xfId="0" applyFont="1" applyBorder="1"/>
    <xf numFmtId="0" fontId="2" fillId="0" borderId="39" xfId="0" applyFont="1" applyFill="1" applyBorder="1"/>
    <xf numFmtId="4" fontId="1" fillId="0" borderId="40" xfId="0" applyNumberFormat="1" applyFont="1" applyFill="1" applyBorder="1"/>
    <xf numFmtId="4" fontId="1" fillId="0" borderId="16" xfId="0" applyNumberFormat="1" applyFont="1" applyFill="1" applyBorder="1"/>
    <xf numFmtId="10" fontId="1" fillId="0" borderId="0" xfId="0" applyNumberFormat="1" applyFont="1"/>
    <xf numFmtId="10" fontId="1" fillId="0" borderId="50" xfId="0" applyNumberFormat="1" applyFont="1" applyBorder="1"/>
    <xf numFmtId="10" fontId="1" fillId="0" borderId="51" xfId="0" applyNumberFormat="1" applyFont="1" applyBorder="1"/>
    <xf numFmtId="10" fontId="1" fillId="0" borderId="52" xfId="0" applyNumberFormat="1" applyFont="1" applyBorder="1"/>
    <xf numFmtId="10" fontId="1" fillId="0" borderId="53" xfId="0" applyNumberFormat="1" applyFont="1" applyBorder="1"/>
    <xf numFmtId="10" fontId="1" fillId="0" borderId="54" xfId="0" applyNumberFormat="1" applyFont="1" applyBorder="1"/>
    <xf numFmtId="10" fontId="2" fillId="0" borderId="48" xfId="0" applyNumberFormat="1" applyFont="1" applyBorder="1" applyAlignment="1">
      <alignment horizontal="center" vertical="center" wrapText="1"/>
    </xf>
    <xf numFmtId="10" fontId="2" fillId="0" borderId="5" xfId="0" applyNumberFormat="1" applyFont="1" applyBorder="1" applyAlignment="1">
      <alignment horizontal="center" wrapText="1"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 applyBorder="1" applyAlignment="1">
      <alignment horizontal="center"/>
    </xf>
    <xf numFmtId="10" fontId="7" fillId="0" borderId="33" xfId="0" applyNumberFormat="1" applyFont="1" applyBorder="1" applyAlignment="1">
      <alignment horizontal="center"/>
    </xf>
    <xf numFmtId="10" fontId="7" fillId="0" borderId="32" xfId="0" applyNumberFormat="1" applyFont="1" applyBorder="1" applyAlignment="1">
      <alignment horizontal="center"/>
    </xf>
    <xf numFmtId="10" fontId="7" fillId="0" borderId="44" xfId="0" applyNumberFormat="1" applyFont="1" applyBorder="1" applyAlignment="1">
      <alignment horizontal="center"/>
    </xf>
    <xf numFmtId="10" fontId="7" fillId="0" borderId="30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 vertical="center"/>
    </xf>
    <xf numFmtId="4" fontId="1" fillId="0" borderId="5" xfId="0" applyNumberFormat="1" applyFont="1" applyBorder="1"/>
    <xf numFmtId="4" fontId="1" fillId="0" borderId="34" xfId="0" applyNumberFormat="1" applyFont="1" applyBorder="1"/>
    <xf numFmtId="4" fontId="1" fillId="0" borderId="17" xfId="0" applyNumberFormat="1" applyFont="1" applyBorder="1"/>
    <xf numFmtId="4" fontId="1" fillId="0" borderId="19" xfId="0" applyNumberFormat="1" applyFont="1" applyBorder="1"/>
    <xf numFmtId="4" fontId="1" fillId="0" borderId="22" xfId="0" applyNumberFormat="1" applyFont="1" applyBorder="1"/>
    <xf numFmtId="4" fontId="1" fillId="0" borderId="24" xfId="0" applyNumberFormat="1" applyFont="1" applyBorder="1"/>
    <xf numFmtId="4" fontId="1" fillId="0" borderId="0" xfId="0" applyNumberFormat="1" applyFont="1" applyBorder="1"/>
    <xf numFmtId="4" fontId="1" fillId="0" borderId="40" xfId="0" applyNumberFormat="1" applyFont="1" applyBorder="1"/>
    <xf numFmtId="4" fontId="1" fillId="0" borderId="41" xfId="0" applyNumberFormat="1" applyFont="1" applyBorder="1"/>
    <xf numFmtId="4" fontId="1" fillId="0" borderId="42" xfId="0" applyNumberFormat="1" applyFont="1" applyBorder="1"/>
    <xf numFmtId="4" fontId="1" fillId="0" borderId="27" xfId="0" applyNumberFormat="1" applyFont="1" applyBorder="1"/>
    <xf numFmtId="4" fontId="1" fillId="0" borderId="29" xfId="0" applyNumberFormat="1" applyFont="1" applyBorder="1"/>
    <xf numFmtId="4" fontId="1" fillId="0" borderId="30" xfId="0" applyNumberFormat="1" applyFont="1" applyBorder="1"/>
    <xf numFmtId="4" fontId="1" fillId="0" borderId="33" xfId="0" applyNumberFormat="1" applyFont="1" applyBorder="1"/>
    <xf numFmtId="4" fontId="1" fillId="0" borderId="32" xfId="0" applyNumberFormat="1" applyFont="1" applyBorder="1"/>
    <xf numFmtId="4" fontId="1" fillId="0" borderId="12" xfId="0" applyNumberFormat="1" applyFont="1" applyBorder="1"/>
    <xf numFmtId="4" fontId="1" fillId="0" borderId="13" xfId="0" applyNumberFormat="1" applyFont="1" applyBorder="1"/>
    <xf numFmtId="4" fontId="1" fillId="0" borderId="10" xfId="0" applyNumberFormat="1" applyFont="1" applyBorder="1"/>
    <xf numFmtId="4" fontId="1" fillId="0" borderId="31" xfId="0" applyNumberFormat="1" applyFont="1" applyBorder="1"/>
    <xf numFmtId="165" fontId="0" fillId="0" borderId="0" xfId="0" applyNumberFormat="1"/>
    <xf numFmtId="4" fontId="1" fillId="3" borderId="2" xfId="0" applyNumberFormat="1" applyFont="1" applyFill="1" applyBorder="1"/>
    <xf numFmtId="4" fontId="1" fillId="3" borderId="3" xfId="0" applyNumberFormat="1" applyFont="1" applyFill="1" applyBorder="1"/>
    <xf numFmtId="4" fontId="1" fillId="3" borderId="4" xfId="0" applyNumberFormat="1" applyFont="1" applyFill="1" applyBorder="1"/>
    <xf numFmtId="4" fontId="1" fillId="3" borderId="9" xfId="0" applyNumberFormat="1" applyFont="1" applyFill="1" applyBorder="1"/>
    <xf numFmtId="10" fontId="7" fillId="3" borderId="4" xfId="0" applyNumberFormat="1" applyFont="1" applyFill="1" applyBorder="1" applyAlignment="1">
      <alignment horizontal="center"/>
    </xf>
    <xf numFmtId="0" fontId="1" fillId="3" borderId="6" xfId="0" applyFont="1" applyFill="1" applyBorder="1"/>
    <xf numFmtId="10" fontId="1" fillId="3" borderId="49" xfId="0" applyNumberFormat="1" applyFont="1" applyFill="1" applyBorder="1"/>
    <xf numFmtId="4" fontId="1" fillId="3" borderId="7" xfId="0" applyNumberFormat="1" applyFont="1" applyFill="1" applyBorder="1"/>
    <xf numFmtId="10" fontId="7" fillId="3" borderId="49" xfId="0" applyNumberFormat="1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 wrapText="1"/>
    </xf>
    <xf numFmtId="10" fontId="7" fillId="3" borderId="35" xfId="0" applyNumberFormat="1" applyFont="1" applyFill="1" applyBorder="1" applyAlignment="1">
      <alignment horizontal="center"/>
    </xf>
    <xf numFmtId="10" fontId="7" fillId="0" borderId="55" xfId="0" applyNumberFormat="1" applyFont="1" applyBorder="1" applyAlignment="1">
      <alignment horizontal="center"/>
    </xf>
    <xf numFmtId="10" fontId="7" fillId="0" borderId="56" xfId="0" applyNumberFormat="1" applyFont="1" applyBorder="1" applyAlignment="1">
      <alignment horizontal="center"/>
    </xf>
    <xf numFmtId="10" fontId="7" fillId="0" borderId="57" xfId="0" applyNumberFormat="1" applyFont="1" applyBorder="1" applyAlignment="1">
      <alignment horizontal="center"/>
    </xf>
    <xf numFmtId="10" fontId="7" fillId="0" borderId="58" xfId="0" applyNumberFormat="1" applyFont="1" applyBorder="1" applyAlignment="1">
      <alignment horizontal="center"/>
    </xf>
    <xf numFmtId="0" fontId="9" fillId="0" borderId="15" xfId="0" applyFont="1" applyBorder="1"/>
    <xf numFmtId="0" fontId="2" fillId="2" borderId="11" xfId="0" applyFont="1" applyFill="1" applyBorder="1" applyAlignment="1">
      <alignment horizontal="center"/>
    </xf>
    <xf numFmtId="4" fontId="7" fillId="0" borderId="0" xfId="0" applyNumberFormat="1" applyFont="1"/>
    <xf numFmtId="4" fontId="1" fillId="0" borderId="19" xfId="0" applyNumberFormat="1" applyFont="1" applyFill="1" applyBorder="1"/>
    <xf numFmtId="10" fontId="7" fillId="0" borderId="33" xfId="0" applyNumberFormat="1" applyFont="1" applyFill="1" applyBorder="1" applyAlignment="1">
      <alignment horizontal="center"/>
    </xf>
    <xf numFmtId="0" fontId="3" fillId="0" borderId="18" xfId="0" applyFont="1" applyFill="1" applyBorder="1"/>
    <xf numFmtId="0" fontId="1" fillId="0" borderId="18" xfId="0" applyFont="1" applyFill="1" applyBorder="1"/>
    <xf numFmtId="0" fontId="3" fillId="0" borderId="15" xfId="0" applyFont="1" applyFill="1" applyBorder="1" applyAlignment="1"/>
    <xf numFmtId="4" fontId="1" fillId="3" borderId="35" xfId="0" applyNumberFormat="1" applyFont="1" applyFill="1" applyBorder="1"/>
    <xf numFmtId="4" fontId="1" fillId="0" borderId="57" xfId="0" applyNumberFormat="1" applyFont="1" applyBorder="1"/>
    <xf numFmtId="0" fontId="1" fillId="3" borderId="4" xfId="0" applyFont="1" applyFill="1" applyBorder="1"/>
    <xf numFmtId="0" fontId="3" fillId="0" borderId="33" xfId="0" applyFont="1" applyBorder="1"/>
    <xf numFmtId="0" fontId="1" fillId="0" borderId="33" xfId="0" applyFont="1" applyBorder="1"/>
    <xf numFmtId="4" fontId="2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 wrapText="1"/>
    </xf>
    <xf numFmtId="10" fontId="1" fillId="3" borderId="2" xfId="0" applyNumberFormat="1" applyFont="1" applyFill="1" applyBorder="1"/>
    <xf numFmtId="10" fontId="7" fillId="3" borderId="2" xfId="0" applyNumberFormat="1" applyFont="1" applyFill="1" applyBorder="1" applyAlignment="1">
      <alignment horizontal="center"/>
    </xf>
    <xf numFmtId="10" fontId="1" fillId="0" borderId="1" xfId="0" applyNumberFormat="1" applyFont="1" applyBorder="1"/>
    <xf numFmtId="10" fontId="1" fillId="0" borderId="26" xfId="0" applyNumberFormat="1" applyFont="1" applyBorder="1"/>
    <xf numFmtId="10" fontId="1" fillId="0" borderId="16" xfId="0" applyNumberFormat="1" applyFont="1" applyBorder="1"/>
    <xf numFmtId="10" fontId="1" fillId="0" borderId="21" xfId="0" applyNumberFormat="1" applyFont="1" applyBorder="1"/>
    <xf numFmtId="0" fontId="2" fillId="3" borderId="3" xfId="0" applyFont="1" applyFill="1" applyBorder="1"/>
    <xf numFmtId="0" fontId="2" fillId="3" borderId="0" xfId="0" applyFont="1" applyFill="1" applyBorder="1"/>
    <xf numFmtId="3" fontId="1" fillId="0" borderId="0" xfId="0" applyNumberFormat="1" applyFont="1"/>
    <xf numFmtId="3" fontId="1" fillId="3" borderId="0" xfId="0" applyNumberFormat="1" applyFont="1" applyFill="1" applyBorder="1"/>
    <xf numFmtId="4" fontId="1" fillId="0" borderId="0" xfId="0" applyNumberFormat="1" applyFont="1" applyAlignment="1"/>
    <xf numFmtId="4" fontId="0" fillId="0" borderId="0" xfId="0" applyNumberFormat="1" applyAlignment="1"/>
    <xf numFmtId="0" fontId="8" fillId="0" borderId="0" xfId="0" applyFont="1" applyAlignment="1"/>
    <xf numFmtId="4" fontId="8" fillId="0" borderId="0" xfId="0" applyNumberFormat="1" applyFont="1" applyAlignment="1"/>
    <xf numFmtId="0" fontId="4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3" fillId="2" borderId="37" xfId="0" applyFont="1" applyFill="1" applyBorder="1" applyAlignment="1"/>
    <xf numFmtId="0" fontId="0" fillId="0" borderId="37" xfId="0" applyBorder="1" applyAlignment="1"/>
    <xf numFmtId="0" fontId="0" fillId="0" borderId="38" xfId="0" applyBorder="1" applyAlignment="1"/>
    <xf numFmtId="4" fontId="2" fillId="0" borderId="45" xfId="0" applyNumberFormat="1" applyFont="1" applyBorder="1" applyAlignment="1">
      <alignment horizontal="center" vertical="center"/>
    </xf>
    <xf numFmtId="4" fontId="2" fillId="0" borderId="46" xfId="0" applyNumberFormat="1" applyFont="1" applyBorder="1" applyAlignment="1">
      <alignment horizontal="center" vertical="center"/>
    </xf>
    <xf numFmtId="4" fontId="2" fillId="0" borderId="47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6" fillId="0" borderId="0" xfId="0" applyFont="1" applyAlignment="1"/>
    <xf numFmtId="0" fontId="8" fillId="0" borderId="0" xfId="0" applyFont="1" applyAlignment="1">
      <alignment horizontal="center"/>
    </xf>
    <xf numFmtId="0" fontId="0" fillId="0" borderId="35" xfId="0" applyBorder="1" applyAlignment="1">
      <alignment horizontal="center"/>
    </xf>
    <xf numFmtId="2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/>
    <xf numFmtId="0" fontId="3" fillId="2" borderId="4" xfId="0" applyFont="1" applyFill="1" applyBorder="1" applyAlignment="1"/>
    <xf numFmtId="0" fontId="0" fillId="0" borderId="4" xfId="0" applyBorder="1" applyAlignment="1"/>
    <xf numFmtId="0" fontId="0" fillId="0" borderId="35" xfId="0" applyBorder="1" applyAlignment="1"/>
    <xf numFmtId="0" fontId="2" fillId="2" borderId="11" xfId="0" applyFont="1" applyFill="1" applyBorder="1" applyAlignment="1">
      <alignment horizontal="center"/>
    </xf>
    <xf numFmtId="0" fontId="3" fillId="2" borderId="7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CHARGES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CCE-4FF2-BC9B-C35F0666A1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CE-4FF2-BC9B-C35F0666A1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9CCE-4FF2-BC9B-C35F0666A1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71-4102-83C1-977081F2577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CCE-4FF2-BC9B-C35F0666A11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CCE-4FF2-BC9B-C35F0666A11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CCE-4FF2-BC9B-C35F0666A11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CCE-4FF2-BC9B-C35F0666A11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CE-4FF2-BC9B-C35F0666A11C}"/>
              </c:ext>
            </c:extLst>
          </c:dPt>
          <c:dLbls>
            <c:dLbl>
              <c:idx val="0"/>
              <c:layout>
                <c:manualLayout>
                  <c:x val="0.11687113910761154"/>
                  <c:y val="-1.0215938916726317E-3"/>
                </c:manualLayout>
              </c:layout>
              <c:tx>
                <c:rich>
                  <a:bodyPr/>
                  <a:lstStyle/>
                  <a:p>
                    <a:fld id="{7C126AF7-6169-465E-A60A-6CD8992C3D89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F666EA3A-3E45-4A23-89B0-AED93B881FF8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; </a:t>
                    </a:r>
                    <a:fld id="{E379E3F1-DF3D-465E-802D-C528B44038DD}" type="PERCENTAGE">
                      <a:rPr lang="en-US" baseline="0"/>
                      <a:pPr/>
                      <a:t>[POURCENTAGE]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957866666666667"/>
                      <c:h val="0.1089546647578143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CCE-4FF2-BC9B-C35F0666A11C}"/>
                </c:ext>
              </c:extLst>
            </c:dLbl>
            <c:dLbl>
              <c:idx val="1"/>
              <c:layout>
                <c:manualLayout>
                  <c:x val="1.9694866141732284E-2"/>
                  <c:y val="-0.13364471486518731"/>
                </c:manualLayout>
              </c:layout>
              <c:tx>
                <c:rich>
                  <a:bodyPr/>
                  <a:lstStyle/>
                  <a:p>
                    <a:fld id="{09470B6A-64AF-41F1-B2C1-9246B9D79AE6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; </a:t>
                    </a:r>
                  </a:p>
                  <a:p>
                    <a:fld id="{7326B06A-F6D3-4FF0-92F0-565F5E4AC2CD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; </a:t>
                    </a:r>
                    <a:fld id="{7CE3D3F9-62EF-47F5-8AAE-CB52849A7961}" type="PERCENTAGE">
                      <a:rPr lang="en-US" baseline="0"/>
                      <a:pPr/>
                      <a:t>[POURCENTAGE]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CCE-4FF2-BC9B-C35F0666A11C}"/>
                </c:ext>
              </c:extLst>
            </c:dLbl>
            <c:dLbl>
              <c:idx val="2"/>
              <c:layout>
                <c:manualLayout>
                  <c:x val="0.19069236275535489"/>
                  <c:y val="-2.543707799883793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CE-4FF2-BC9B-C35F0666A11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F462130-9778-4DA2-B927-5F8EC84A6874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; </a:t>
                    </a:r>
                  </a:p>
                  <a:p>
                    <a:fld id="{7081569A-4A3C-4968-8CC7-97ED4F730299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; </a:t>
                    </a:r>
                    <a:fld id="{F6272779-10B3-466F-9960-8BE6EBC5D645}" type="PERCENTAGE">
                      <a:rPr lang="en-US" baseline="0"/>
                      <a:pPr/>
                      <a:t>[POURCENTAGE]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171-4102-83C1-977081F2577F}"/>
                </c:ext>
              </c:extLst>
            </c:dLbl>
            <c:dLbl>
              <c:idx val="4"/>
              <c:layout>
                <c:manualLayout>
                  <c:x val="-0.29975082135712056"/>
                  <c:y val="-1.9114423674139968E-2"/>
                </c:manualLayout>
              </c:layout>
              <c:tx>
                <c:rich>
                  <a:bodyPr/>
                  <a:lstStyle/>
                  <a:p>
                    <a:fld id="{57CCA5E3-284D-45BB-AB54-DDE74FBD2ED5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; </a:t>
                    </a:r>
                  </a:p>
                  <a:p>
                    <a:fld id="{C8626548-5ED5-4900-846E-D0FB91B472D9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; </a:t>
                    </a:r>
                    <a:fld id="{6765FC7B-F371-447C-B6EF-D6F5779D94F3}" type="PERCENTAGE">
                      <a:rPr lang="en-US" baseline="0"/>
                      <a:pPr/>
                      <a:t>[POURCENTAGE]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07925407925404"/>
                      <c:h val="6.3536895674300251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9CCE-4FF2-BC9B-C35F0666A11C}"/>
                </c:ext>
              </c:extLst>
            </c:dLbl>
            <c:dLbl>
              <c:idx val="5"/>
              <c:layout>
                <c:manualLayout>
                  <c:x val="-0.22625215204742766"/>
                  <c:y val="-9.467514306613313E-2"/>
                </c:manualLayout>
              </c:layout>
              <c:tx>
                <c:rich>
                  <a:bodyPr/>
                  <a:lstStyle/>
                  <a:p>
                    <a:fld id="{A7AD7A38-53DA-433D-B9AC-06122D0BDE09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; </a:t>
                    </a:r>
                  </a:p>
                  <a:p>
                    <a:fld id="{72BED1B3-07B5-4A40-B284-C6EC2C040A4F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; </a:t>
                    </a:r>
                    <a:fld id="{9B46E0AA-18B4-48A8-A81F-BEBFFF37505A}" type="PERCENTAGE">
                      <a:rPr lang="en-US" baseline="0"/>
                      <a:pPr/>
                      <a:t>[POURCENTAGE]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68065268065271"/>
                      <c:h val="6.8224043715846991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9CCE-4FF2-BC9B-C35F0666A11C}"/>
                </c:ext>
              </c:extLst>
            </c:dLbl>
            <c:dLbl>
              <c:idx val="6"/>
              <c:layout>
                <c:manualLayout>
                  <c:x val="-7.9039259952645782E-2"/>
                  <c:y val="-0.172845510089927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97195455463171"/>
                      <c:h val="9.82378124865539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CCE-4FF2-BC9B-C35F0666A11C}"/>
                </c:ext>
              </c:extLst>
            </c:dLbl>
            <c:dLbl>
              <c:idx val="7"/>
              <c:layout>
                <c:manualLayout>
                  <c:x val="7.0517503846459981E-3"/>
                  <c:y val="-0.21902468549189974"/>
                </c:manualLayout>
              </c:layout>
              <c:tx>
                <c:rich>
                  <a:bodyPr/>
                  <a:lstStyle/>
                  <a:p>
                    <a:fld id="{97A9213E-A635-4B21-8848-8F00FC969E86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; </a:t>
                    </a:r>
                  </a:p>
                  <a:p>
                    <a:fld id="{28B65F10-5743-41B4-BA92-64901C041D3B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; </a:t>
                    </a:r>
                    <a:fld id="{420A0040-3E8F-4CF0-8ABC-300EB6BFA6FF}" type="PERCENTAGE">
                      <a:rPr lang="en-US" baseline="0"/>
                      <a:pPr/>
                      <a:t>[POURCENTAGE]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296855452080917"/>
                      <c:h val="0.1033190786496515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9CCE-4FF2-BC9B-C35F0666A11C}"/>
                </c:ext>
              </c:extLst>
            </c:dLbl>
            <c:dLbl>
              <c:idx val="8"/>
              <c:layout>
                <c:manualLayout>
                  <c:x val="-4.628527034120735E-2"/>
                  <c:y val="-8.8528274874731569E-2"/>
                </c:manualLayout>
              </c:layout>
              <c:tx>
                <c:rich>
                  <a:bodyPr/>
                  <a:lstStyle/>
                  <a:p>
                    <a:fld id="{AC9F0CC3-BF3A-43E7-A03A-41525EF8A540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; </a:t>
                    </a:r>
                  </a:p>
                  <a:p>
                    <a:fld id="{C7D93BF4-71CC-4655-8389-F2335052DD75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; </a:t>
                    </a:r>
                    <a:fld id="{D9BF36AB-DDF5-487E-AE4F-C9A69885CD61}" type="PERCENTAGE">
                      <a:rPr lang="en-US" baseline="0"/>
                      <a:pPr/>
                      <a:t>[POURCENTAGE]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CCE-4FF2-BC9B-C35F0666A1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DIAPORAMA!$A$2:$A$10</c:f>
              <c:strCache>
                <c:ptCount val="9"/>
                <c:pt idx="0">
                  <c:v>1 ATHLETISME COMPETITION</c:v>
                </c:pt>
                <c:pt idx="1">
                  <c:v>2 SUIVI ATHLETES</c:v>
                </c:pt>
                <c:pt idx="2">
                  <c:v>3 ATHLETISME DES JEUNES</c:v>
                </c:pt>
                <c:pt idx="3">
                  <c:v>4 ATHLE HORS STADE</c:v>
                </c:pt>
                <c:pt idx="4">
                  <c:v>5 ATHLE SANTE LOISIRS</c:v>
                </c:pt>
                <c:pt idx="5">
                  <c:v>6 FORMATIONS</c:v>
                </c:pt>
                <c:pt idx="6">
                  <c:v>7  STRUCTURATION DES CLUBS &amp; ANIMATION TERRITORIALE</c:v>
                </c:pt>
                <c:pt idx="7">
                  <c:v>8 STRUCTURE REGIONALE</c:v>
                </c:pt>
                <c:pt idx="8">
                  <c:v>9 ADMINISTRATION</c:v>
                </c:pt>
              </c:strCache>
            </c:strRef>
          </c:cat>
          <c:val>
            <c:numRef>
              <c:f>DIAPORAMA!$B$2:$B$10</c:f>
              <c:numCache>
                <c:formatCode>#,##0</c:formatCode>
                <c:ptCount val="9"/>
                <c:pt idx="0">
                  <c:v>90376.268555555551</c:v>
                </c:pt>
                <c:pt idx="1">
                  <c:v>266835.42975555558</c:v>
                </c:pt>
                <c:pt idx="2">
                  <c:v>36747.685249999995</c:v>
                </c:pt>
                <c:pt idx="3">
                  <c:v>10798.995138888889</c:v>
                </c:pt>
                <c:pt idx="4">
                  <c:v>29264.743005555552</c:v>
                </c:pt>
                <c:pt idx="5">
                  <c:v>77252.076516666668</c:v>
                </c:pt>
                <c:pt idx="6">
                  <c:v>14606.239833333333</c:v>
                </c:pt>
                <c:pt idx="7">
                  <c:v>152983.97650000002</c:v>
                </c:pt>
                <c:pt idx="8">
                  <c:v>168878.54544444446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CE-4FF2-BC9B-C35F0666A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PRODUITS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AC2-4F22-B786-AA5F6B6CDE2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AC2-4F22-B786-AA5F6B6CDE2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AC2-4F22-B786-AA5F6B6CDE2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AC2-4F22-B786-AA5F6B6CDE2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AC2-4F22-B786-AA5F6B6CDE2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AC2-4F22-B786-AA5F6B6CDE2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AC2-4F22-B786-AA5F6B6CDE2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AC2-4F22-B786-AA5F6B6CDE2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AC2-4F22-B786-AA5F6B6CDE21}"/>
              </c:ext>
            </c:extLst>
          </c:dPt>
          <c:dLbls>
            <c:dLbl>
              <c:idx val="0"/>
              <c:layout>
                <c:manualLayout>
                  <c:x val="0.24801864801864801"/>
                  <c:y val="-1.4884471408287079E-2"/>
                </c:manualLayout>
              </c:layout>
              <c:tx>
                <c:rich>
                  <a:bodyPr/>
                  <a:lstStyle/>
                  <a:p>
                    <a:fld id="{C72F83E5-31D9-4A10-9381-D3876E2A4A57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; </a:t>
                    </a:r>
                  </a:p>
                  <a:p>
                    <a:fld id="{FD0DEAEF-CE75-4CA7-A968-867FFB03D3CC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; </a:t>
                    </a:r>
                    <a:fld id="{80C5A58C-D585-4810-B58A-EE808A72F6C1}" type="PERCENTAGE">
                      <a:rPr lang="en-US" baseline="0"/>
                      <a:pPr/>
                      <a:t>[POURCENTAGE]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91142191142191"/>
                      <c:h val="9.836065573770491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AC2-4F22-B786-AA5F6B6CDE21}"/>
                </c:ext>
              </c:extLst>
            </c:dLbl>
            <c:dLbl>
              <c:idx val="1"/>
              <c:layout>
                <c:manualLayout>
                  <c:x val="6.1016904355487032E-2"/>
                  <c:y val="5.7538832236134416E-2"/>
                </c:manualLayout>
              </c:layout>
              <c:tx>
                <c:rich>
                  <a:bodyPr/>
                  <a:lstStyle/>
                  <a:p>
                    <a:fld id="{DFD57F52-8C92-411B-B4FA-EF1DD1DA62C2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4EC29C-AC52-48AC-8750-3D1A495248D2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; </a:t>
                    </a:r>
                    <a:fld id="{CE9B4F2D-5189-4FC8-96E6-6ACCBEBD954D}" type="PERCENTAGE">
                      <a:rPr lang="en-US" baseline="0"/>
                      <a:pPr/>
                      <a:t>[POURCENTAGE]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90450232182516"/>
                      <c:h val="6.8224043715846991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AC2-4F22-B786-AA5F6B6CDE21}"/>
                </c:ext>
              </c:extLst>
            </c:dLbl>
            <c:dLbl>
              <c:idx val="2"/>
              <c:layout>
                <c:manualLayout>
                  <c:x val="3.6689739978976177E-2"/>
                  <c:y val="-5.7463544845174172E-2"/>
                </c:manualLayout>
              </c:layout>
              <c:tx>
                <c:rich>
                  <a:bodyPr/>
                  <a:lstStyle/>
                  <a:p>
                    <a:fld id="{A8812769-0F7A-4C6C-9956-407D0448766C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; </a:t>
                    </a:r>
                  </a:p>
                  <a:p>
                    <a:fld id="{370AB0D6-C7F4-42A5-A91F-5582A5BF1B78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; </a:t>
                    </a:r>
                    <a:fld id="{A653024B-0A33-4953-811D-698D15755BF4}" type="PERCENTAGE">
                      <a:rPr lang="en-US" baseline="0"/>
                      <a:pPr/>
                      <a:t>[POURCENTAGE]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AC2-4F22-B786-AA5F6B6CDE21}"/>
                </c:ext>
              </c:extLst>
            </c:dLbl>
            <c:dLbl>
              <c:idx val="3"/>
              <c:layout>
                <c:manualLayout>
                  <c:x val="2.7000006611264268E-2"/>
                  <c:y val="-7.3927432038859038E-4"/>
                </c:manualLayout>
              </c:layout>
              <c:tx>
                <c:rich>
                  <a:bodyPr/>
                  <a:lstStyle/>
                  <a:p>
                    <a:fld id="{C9F9F58F-AE8C-4727-90CC-286BB81F6A15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306A56ED-4BF0-4E4D-9E23-ECF3C32FFCFC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; </a:t>
                    </a:r>
                    <a:fld id="{51D6FEEC-4B8B-48D7-A9F6-AC88E8297F78}" type="PERCENTAGE">
                      <a:rPr lang="en-US" baseline="0"/>
                      <a:pPr/>
                      <a:t>[POURCENTAGE]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75486093205604"/>
                      <c:h val="6.293635790800251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AC2-4F22-B786-AA5F6B6CDE21}"/>
                </c:ext>
              </c:extLst>
            </c:dLbl>
            <c:dLbl>
              <c:idx val="4"/>
              <c:layout>
                <c:manualLayout>
                  <c:x val="5.9869493643269406E-2"/>
                  <c:y val="0.11752715220616326"/>
                </c:manualLayout>
              </c:layout>
              <c:tx>
                <c:rich>
                  <a:bodyPr/>
                  <a:lstStyle/>
                  <a:p>
                    <a:fld id="{C3569667-F19D-4E1C-864C-CCEB3E02FD77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; </a:t>
                    </a:r>
                  </a:p>
                  <a:p>
                    <a:fld id="{34583D35-CD81-4C47-B238-5A94D128173F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; </a:t>
                    </a:r>
                    <a:fld id="{11F6C560-6333-474E-9FEA-38B92AD3E701}" type="PERCENTAGE">
                      <a:rPr lang="en-US" baseline="0"/>
                      <a:pPr/>
                      <a:t>[POURCENTAGE]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AC2-4F22-B786-AA5F6B6CDE21}"/>
                </c:ext>
              </c:extLst>
            </c:dLbl>
            <c:dLbl>
              <c:idx val="5"/>
              <c:layout>
                <c:manualLayout>
                  <c:x val="-7.9030890369474419E-3"/>
                  <c:y val="0.11092551955595714"/>
                </c:manualLayout>
              </c:layout>
              <c:tx>
                <c:rich>
                  <a:bodyPr/>
                  <a:lstStyle/>
                  <a:p>
                    <a:fld id="{71C3BEF2-C73F-46B2-B9E6-741A5055D4A0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CE95ED7-4F40-4E5F-8320-CF1FDDBB602A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; </a:t>
                    </a:r>
                    <a:fld id="{0AB4FE23-0AD7-4AA0-8BF8-286534F184B4}" type="PERCENTAGE">
                      <a:rPr lang="en-US" baseline="0"/>
                      <a:pPr/>
                      <a:t>[POURCENTAGE]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2AC2-4F22-B786-AA5F6B6CDE21}"/>
                </c:ext>
              </c:extLst>
            </c:dLbl>
            <c:dLbl>
              <c:idx val="6"/>
              <c:layout>
                <c:manualLayout>
                  <c:x val="-4.0549896297927795E-2"/>
                  <c:y val="1.184544554881459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AC2-4F22-B786-AA5F6B6CDE21}"/>
                </c:ext>
              </c:extLst>
            </c:dLbl>
            <c:dLbl>
              <c:idx val="7"/>
              <c:layout>
                <c:manualLayout>
                  <c:x val="-0.10901646385110952"/>
                  <c:y val="-5.5822899186781981E-2"/>
                </c:manualLayout>
              </c:layout>
              <c:tx>
                <c:rich>
                  <a:bodyPr/>
                  <a:lstStyle/>
                  <a:p>
                    <a:fld id="{7D5C0F2E-3E7D-439E-BBFE-5BB716C9E57E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; </a:t>
                    </a:r>
                  </a:p>
                  <a:p>
                    <a:fld id="{1A3A0F3B-FB6C-41FB-A525-3BF8E0290ACA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; </a:t>
                    </a:r>
                    <a:fld id="{AE5BC806-9411-412A-BC71-10ED2B9B3932}" type="PERCENTAGE">
                      <a:rPr lang="en-US" baseline="0"/>
                      <a:pPr/>
                      <a:t>[POURCENTAGE]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2AC2-4F22-B786-AA5F6B6CDE2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2D4C955-7B4F-40C0-BD81-59EB8B3D5853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; </a:t>
                    </a:r>
                  </a:p>
                  <a:p>
                    <a:fld id="{7CA0F676-8ADE-41BF-829A-85E628E51788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; </a:t>
                    </a:r>
                    <a:fld id="{5A4CF482-6A85-45F9-8099-3217981CEA9C}" type="PERCENTAGE">
                      <a:rPr lang="en-US" baseline="0"/>
                      <a:pPr/>
                      <a:t>[POURCENTAGE]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2AC2-4F22-B786-AA5F6B6CDE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DIAPORAMA!$A$29:$A$37</c:f>
              <c:strCache>
                <c:ptCount val="9"/>
                <c:pt idx="0">
                  <c:v>1 ATHLETISME COMPETITION</c:v>
                </c:pt>
                <c:pt idx="1">
                  <c:v>2 SUIVI ATHLETES</c:v>
                </c:pt>
                <c:pt idx="2">
                  <c:v>3 ATHLETISME DES JEUNES</c:v>
                </c:pt>
                <c:pt idx="3">
                  <c:v>4 ATHLE HORS STADE</c:v>
                </c:pt>
                <c:pt idx="4">
                  <c:v>5 ATHLE SANTE LOISIRS</c:v>
                </c:pt>
                <c:pt idx="5">
                  <c:v>6 FORMATIONS</c:v>
                </c:pt>
                <c:pt idx="6">
                  <c:v>7  STRUCTURATION DES CLUBS &amp; ANIMATION TERRITORIALE</c:v>
                </c:pt>
                <c:pt idx="7">
                  <c:v>8 STRUCTURE REGIONALE</c:v>
                </c:pt>
                <c:pt idx="8">
                  <c:v>9 ADMINISTRATION</c:v>
                </c:pt>
              </c:strCache>
            </c:strRef>
          </c:cat>
          <c:val>
            <c:numRef>
              <c:f>DIAPORAMA!$B$29:$B$37</c:f>
              <c:numCache>
                <c:formatCode>#,##0</c:formatCode>
                <c:ptCount val="9"/>
                <c:pt idx="0">
                  <c:v>22639</c:v>
                </c:pt>
                <c:pt idx="1">
                  <c:v>134763.08799999999</c:v>
                </c:pt>
                <c:pt idx="2">
                  <c:v>26269.848999999998</c:v>
                </c:pt>
                <c:pt idx="3">
                  <c:v>9646.0990000000002</c:v>
                </c:pt>
                <c:pt idx="4">
                  <c:v>18042.918999999998</c:v>
                </c:pt>
                <c:pt idx="5">
                  <c:v>71873.339000000007</c:v>
                </c:pt>
                <c:pt idx="6">
                  <c:v>435981.54600000003</c:v>
                </c:pt>
                <c:pt idx="7">
                  <c:v>12234.898000000001</c:v>
                </c:pt>
                <c:pt idx="8">
                  <c:v>33770.531999999999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AC2-4F22-B786-AA5F6B6CD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104775</xdr:rowOff>
    </xdr:from>
    <xdr:to>
      <xdr:col>12</xdr:col>
      <xdr:colOff>533400</xdr:colOff>
      <xdr:row>27</xdr:row>
      <xdr:rowOff>142875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9587740-0288-4C7C-971D-B4A6EC2014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485775</xdr:colOff>
      <xdr:row>28</xdr:row>
      <xdr:rowOff>123824</xdr:rowOff>
    </xdr:from>
    <xdr:to>
      <xdr:col>13</xdr:col>
      <xdr:colOff>333375</xdr:colOff>
      <xdr:row>53</xdr:row>
      <xdr:rowOff>114299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5AFCFAEB-C31A-417D-A5ED-0EFD56E4F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SALAIRES%20Version%20C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sso/LANA/2019%20LANA/Commissions/BE/2019%2002%2014/2018%20SALAI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partition"/>
      <sheetName val="Synthèse "/>
    </sheetNames>
    <sheetDataSet>
      <sheetData sheetId="0">
        <row r="12">
          <cell r="O12">
            <v>4664.3185555555565</v>
          </cell>
        </row>
        <row r="14">
          <cell r="O14">
            <v>89677.34350555556</v>
          </cell>
        </row>
        <row r="16">
          <cell r="O16">
            <v>27703.096250000006</v>
          </cell>
        </row>
        <row r="18">
          <cell r="O18">
            <v>9085.7752500000006</v>
          </cell>
        </row>
        <row r="20">
          <cell r="O20">
            <v>649.30513888888891</v>
          </cell>
        </row>
        <row r="22">
          <cell r="O22">
            <v>16631.143005555554</v>
          </cell>
        </row>
        <row r="24">
          <cell r="O24">
            <v>22140.486516666668</v>
          </cell>
        </row>
        <row r="26">
          <cell r="O26">
            <v>4929.3798333333343</v>
          </cell>
        </row>
        <row r="28">
          <cell r="O28">
            <v>80691.886500000008</v>
          </cell>
        </row>
        <row r="30">
          <cell r="O30">
            <v>62608.66544444445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partition"/>
      <sheetName val="Synthèse "/>
    </sheetNames>
    <sheetDataSet>
      <sheetData sheetId="0">
        <row r="50">
          <cell r="C50">
            <v>0</v>
          </cell>
        </row>
        <row r="52">
          <cell r="C52">
            <v>119.849</v>
          </cell>
        </row>
        <row r="54">
          <cell r="C54">
            <v>119.849</v>
          </cell>
        </row>
        <row r="56">
          <cell r="C56">
            <v>119.849</v>
          </cell>
        </row>
        <row r="58">
          <cell r="C58">
            <v>119.849</v>
          </cell>
        </row>
        <row r="60">
          <cell r="C60">
            <v>119.849</v>
          </cell>
        </row>
        <row r="62">
          <cell r="C62">
            <v>119.849</v>
          </cell>
        </row>
        <row r="64">
          <cell r="C64">
            <v>479.39600000000002</v>
          </cell>
        </row>
        <row r="66">
          <cell r="C66">
            <v>239.69800000000001</v>
          </cell>
        </row>
        <row r="68">
          <cell r="C68">
            <v>3355.7719999999999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1"/>
  <sheetViews>
    <sheetView tabSelected="1" showWhiteSpace="0" topLeftCell="A142" zoomScale="87" zoomScaleNormal="87" workbookViewId="0">
      <selection activeCell="H164" sqref="H164"/>
    </sheetView>
  </sheetViews>
  <sheetFormatPr baseColWidth="10" defaultRowHeight="12.75" x14ac:dyDescent="0.2"/>
  <cols>
    <col min="1" max="1" width="38.85546875" style="1" customWidth="1"/>
    <col min="2" max="2" width="9.85546875" style="24" customWidth="1"/>
    <col min="3" max="3" width="11.5703125" style="24" customWidth="1"/>
    <col min="4" max="4" width="11.140625" style="24" customWidth="1"/>
    <col min="5" max="6" width="11.85546875" style="24" customWidth="1"/>
    <col min="7" max="7" width="11.140625" style="43" customWidth="1"/>
    <col min="8" max="8" width="40" style="1" customWidth="1"/>
    <col min="9" max="9" width="10.7109375" style="24" customWidth="1"/>
    <col min="10" max="10" width="10.5703125" style="24" customWidth="1"/>
    <col min="11" max="12" width="11.42578125" style="24"/>
    <col min="13" max="13" width="11.140625" style="35" customWidth="1"/>
    <col min="14" max="16384" width="11.42578125" style="1"/>
  </cols>
  <sheetData>
    <row r="1" spans="1:13" ht="26.25" x14ac:dyDescent="0.4">
      <c r="A1" s="115" t="s">
        <v>143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3" ht="1.5" customHeight="1" thickBot="1" x14ac:dyDescent="0.25"/>
    <row r="3" spans="1:13" ht="18.75" customHeight="1" thickTop="1" thickBot="1" x14ac:dyDescent="0.3">
      <c r="A3" s="3" t="s">
        <v>1</v>
      </c>
      <c r="B3" s="116" t="s">
        <v>123</v>
      </c>
      <c r="C3" s="117"/>
      <c r="D3" s="117"/>
      <c r="E3" s="118"/>
      <c r="F3" s="118"/>
      <c r="G3" s="119"/>
      <c r="H3" s="120" t="s">
        <v>3</v>
      </c>
      <c r="I3" s="121"/>
      <c r="J3" s="121"/>
      <c r="K3" s="122"/>
      <c r="L3" s="122"/>
      <c r="M3" s="123"/>
    </row>
    <row r="4" spans="1:13" ht="34.5" customHeight="1" thickTop="1" thickBot="1" x14ac:dyDescent="0.3">
      <c r="A4" s="4"/>
      <c r="B4" s="124" t="s">
        <v>122</v>
      </c>
      <c r="C4" s="125"/>
      <c r="D4" s="126"/>
      <c r="E4" s="25" t="s">
        <v>124</v>
      </c>
      <c r="F4" s="49" t="s">
        <v>125</v>
      </c>
      <c r="G4" s="42" t="s">
        <v>131</v>
      </c>
      <c r="H4" s="127" t="s">
        <v>122</v>
      </c>
      <c r="I4" s="128"/>
      <c r="J4" s="129"/>
      <c r="K4" s="25" t="s">
        <v>126</v>
      </c>
      <c r="L4" s="49" t="s">
        <v>125</v>
      </c>
      <c r="M4" s="41" t="s">
        <v>131</v>
      </c>
    </row>
    <row r="5" spans="1:13" ht="16.5" thickBot="1" x14ac:dyDescent="0.3">
      <c r="A5" s="20" t="s">
        <v>4</v>
      </c>
      <c r="B5" s="70"/>
      <c r="C5" s="70"/>
      <c r="D5" s="71"/>
      <c r="E5" s="70"/>
      <c r="F5" s="73"/>
      <c r="G5" s="74"/>
      <c r="H5" s="75"/>
      <c r="I5" s="70"/>
      <c r="J5" s="73"/>
      <c r="K5" s="70"/>
      <c r="L5" s="73"/>
      <c r="M5" s="76"/>
    </row>
    <row r="6" spans="1:13" x14ac:dyDescent="0.2">
      <c r="A6" s="4"/>
      <c r="B6" s="26"/>
      <c r="C6" s="26"/>
      <c r="D6" s="50"/>
      <c r="E6" s="26"/>
      <c r="F6" s="51"/>
      <c r="G6" s="44"/>
      <c r="H6" s="6"/>
      <c r="I6" s="65"/>
      <c r="J6" s="66"/>
      <c r="K6" s="26"/>
      <c r="L6" s="51"/>
      <c r="M6" s="36"/>
    </row>
    <row r="7" spans="1:13" ht="15.75" x14ac:dyDescent="0.25">
      <c r="A7" s="7" t="s">
        <v>5</v>
      </c>
      <c r="B7" s="27">
        <v>95000</v>
      </c>
      <c r="C7" s="27"/>
      <c r="D7" s="52"/>
      <c r="E7" s="34">
        <v>31831.09</v>
      </c>
      <c r="F7" s="53">
        <f>+E7-B7</f>
        <v>-63168.91</v>
      </c>
      <c r="G7" s="45"/>
      <c r="H7" s="8" t="s">
        <v>101</v>
      </c>
      <c r="I7" s="27">
        <v>29500</v>
      </c>
      <c r="J7" s="53"/>
      <c r="K7" s="27"/>
      <c r="L7" s="53">
        <f>+K7-I7</f>
        <v>-29500</v>
      </c>
      <c r="M7" s="37"/>
    </row>
    <row r="8" spans="1:13" ht="15.75" x14ac:dyDescent="0.25">
      <c r="A8" s="7" t="s">
        <v>6</v>
      </c>
      <c r="B8" s="27">
        <v>25000</v>
      </c>
      <c r="C8" s="27"/>
      <c r="D8" s="52"/>
      <c r="E8" s="34">
        <v>30374.59</v>
      </c>
      <c r="F8" s="53">
        <f t="shared" ref="F8:F10" si="0">+E8-B8</f>
        <v>5374.59</v>
      </c>
      <c r="G8" s="45"/>
      <c r="H8" s="8" t="s">
        <v>92</v>
      </c>
      <c r="I8" s="27">
        <v>19600</v>
      </c>
      <c r="J8" s="53"/>
      <c r="K8" s="34">
        <v>18000</v>
      </c>
      <c r="L8" s="53">
        <f t="shared" ref="L8:L14" si="1">+K8-I8</f>
        <v>-1600</v>
      </c>
      <c r="M8" s="37"/>
    </row>
    <row r="9" spans="1:13" ht="15.75" x14ac:dyDescent="0.25">
      <c r="A9" s="7" t="s">
        <v>96</v>
      </c>
      <c r="B9" s="27">
        <v>2000</v>
      </c>
      <c r="C9" s="27"/>
      <c r="D9" s="52"/>
      <c r="E9" s="34">
        <v>1330.32</v>
      </c>
      <c r="F9" s="53">
        <f t="shared" si="0"/>
        <v>-669.68000000000006</v>
      </c>
      <c r="G9" s="45"/>
      <c r="H9" s="8" t="s">
        <v>102</v>
      </c>
      <c r="I9" s="27">
        <v>4300</v>
      </c>
      <c r="J9" s="53"/>
      <c r="K9" s="34">
        <f>3769+30</f>
        <v>3799</v>
      </c>
      <c r="L9" s="53">
        <f t="shared" si="1"/>
        <v>-501</v>
      </c>
      <c r="M9" s="37"/>
    </row>
    <row r="10" spans="1:13" ht="15.75" x14ac:dyDescent="0.25">
      <c r="A10" s="7" t="s">
        <v>140</v>
      </c>
      <c r="B10" s="27">
        <v>6000</v>
      </c>
      <c r="C10" s="27"/>
      <c r="D10" s="52"/>
      <c r="E10" s="34">
        <v>14316.31</v>
      </c>
      <c r="F10" s="53">
        <f t="shared" si="0"/>
        <v>8316.31</v>
      </c>
      <c r="G10" s="45"/>
      <c r="H10" s="8" t="s">
        <v>100</v>
      </c>
      <c r="I10" s="27">
        <v>6000</v>
      </c>
      <c r="J10" s="53"/>
      <c r="K10" s="34"/>
      <c r="L10" s="53">
        <f t="shared" si="1"/>
        <v>-6000</v>
      </c>
      <c r="M10" s="37"/>
    </row>
    <row r="11" spans="1:13" ht="15.75" x14ac:dyDescent="0.25">
      <c r="A11" s="9" t="s">
        <v>0</v>
      </c>
      <c r="B11" s="27"/>
      <c r="C11" s="27">
        <f>SUM(B7:B10)</f>
        <v>128000</v>
      </c>
      <c r="D11" s="52"/>
      <c r="E11" s="34">
        <f>SUM(E7:E10)</f>
        <v>77852.31</v>
      </c>
      <c r="F11" s="53">
        <f>+E11-C11</f>
        <v>-50147.69</v>
      </c>
      <c r="G11" s="45">
        <f>+E11/C11</f>
        <v>0.60822117187500002</v>
      </c>
      <c r="H11" s="8" t="s">
        <v>95</v>
      </c>
      <c r="I11" s="27">
        <v>1200</v>
      </c>
      <c r="J11" s="53"/>
      <c r="K11" s="34">
        <v>840</v>
      </c>
      <c r="L11" s="53">
        <f>+K11-I11</f>
        <v>-360</v>
      </c>
      <c r="M11" s="37"/>
    </row>
    <row r="12" spans="1:13" x14ac:dyDescent="0.2">
      <c r="A12" s="11"/>
      <c r="B12" s="27"/>
      <c r="C12" s="27"/>
      <c r="D12" s="52"/>
      <c r="E12" s="34"/>
      <c r="F12" s="53"/>
      <c r="G12" s="45"/>
      <c r="H12" s="10"/>
      <c r="I12" s="27"/>
      <c r="J12" s="53"/>
      <c r="K12" s="34"/>
      <c r="L12" s="53"/>
      <c r="M12" s="37"/>
    </row>
    <row r="13" spans="1:13" ht="15.75" x14ac:dyDescent="0.25">
      <c r="A13" s="7" t="s">
        <v>7</v>
      </c>
      <c r="B13" s="27"/>
      <c r="C13" s="27"/>
      <c r="D13" s="52"/>
      <c r="E13" s="34">
        <f>[1]Répartition!$O$12</f>
        <v>4664.3185555555565</v>
      </c>
      <c r="F13" s="53"/>
      <c r="G13" s="45"/>
      <c r="H13" s="8" t="s">
        <v>79</v>
      </c>
      <c r="I13" s="27"/>
      <c r="J13" s="53"/>
      <c r="K13" s="34">
        <f>[2]Répartition!C50</f>
        <v>0</v>
      </c>
      <c r="L13" s="53">
        <f t="shared" si="1"/>
        <v>0</v>
      </c>
      <c r="M13" s="37"/>
    </row>
    <row r="14" spans="1:13" ht="15.75" x14ac:dyDescent="0.25">
      <c r="A14" s="7" t="s">
        <v>8</v>
      </c>
      <c r="B14" s="27">
        <v>1800</v>
      </c>
      <c r="C14" s="27"/>
      <c r="D14" s="52"/>
      <c r="E14" s="34">
        <v>7859.64</v>
      </c>
      <c r="F14" s="53">
        <f>+E14-B14</f>
        <v>6059.64</v>
      </c>
      <c r="G14" s="45"/>
      <c r="H14" s="8" t="s">
        <v>111</v>
      </c>
      <c r="I14" s="27">
        <v>60000</v>
      </c>
      <c r="J14" s="53"/>
      <c r="K14" s="34"/>
      <c r="L14" s="53">
        <f t="shared" si="1"/>
        <v>-60000</v>
      </c>
      <c r="M14" s="37"/>
    </row>
    <row r="15" spans="1:13" ht="15.75" x14ac:dyDescent="0.25">
      <c r="A15" s="9" t="s">
        <v>10</v>
      </c>
      <c r="B15" s="27"/>
      <c r="C15" s="27">
        <f>SUM(B13:B14)</f>
        <v>1800</v>
      </c>
      <c r="D15" s="52"/>
      <c r="E15" s="34">
        <f>SUM(E13:E14)</f>
        <v>12523.958555555557</v>
      </c>
      <c r="F15" s="53">
        <f>+E15-C15</f>
        <v>10723.958555555557</v>
      </c>
      <c r="G15" s="45">
        <f>+E15/C15</f>
        <v>6.9577547530864203</v>
      </c>
      <c r="H15" s="10"/>
      <c r="I15" s="27"/>
      <c r="J15" s="53"/>
      <c r="K15" s="27"/>
      <c r="L15" s="53"/>
      <c r="M15" s="37"/>
    </row>
    <row r="16" spans="1:13" ht="21.75" customHeight="1" thickBot="1" x14ac:dyDescent="0.25">
      <c r="A16" s="12"/>
      <c r="B16" s="28"/>
      <c r="C16" s="28"/>
      <c r="D16" s="54"/>
      <c r="E16" s="28"/>
      <c r="F16" s="55"/>
      <c r="G16" s="46"/>
      <c r="H16" s="13"/>
      <c r="I16" s="28"/>
      <c r="J16" s="55"/>
      <c r="K16" s="28"/>
      <c r="L16" s="55"/>
      <c r="M16" s="38"/>
    </row>
    <row r="17" spans="1:14" ht="16.5" thickBot="1" x14ac:dyDescent="0.3">
      <c r="A17" s="20" t="s">
        <v>9</v>
      </c>
      <c r="B17" s="72"/>
      <c r="C17" s="72"/>
      <c r="D17" s="72">
        <f>SUM(C11:C15)</f>
        <v>129800</v>
      </c>
      <c r="E17" s="70">
        <f>+E11+E15</f>
        <v>90376.268555555551</v>
      </c>
      <c r="F17" s="73">
        <f>-D17+E17</f>
        <v>-39423.731444444449</v>
      </c>
      <c r="G17" s="74">
        <f>+E17/D17</f>
        <v>0.69627325543571306</v>
      </c>
      <c r="H17" s="23"/>
      <c r="I17" s="72"/>
      <c r="J17" s="77">
        <f>SUM(I7:I15)</f>
        <v>120600</v>
      </c>
      <c r="K17" s="77">
        <f>SUM(K7:K15)</f>
        <v>22639</v>
      </c>
      <c r="L17" s="73">
        <f>-J17+K17</f>
        <v>-97961</v>
      </c>
      <c r="M17" s="78">
        <f>+K17/J17</f>
        <v>0.18771973466003317</v>
      </c>
      <c r="N17" s="24"/>
    </row>
    <row r="18" spans="1:14" ht="4.5" customHeight="1" thickBot="1" x14ac:dyDescent="0.25">
      <c r="A18" s="4"/>
      <c r="B18" s="56"/>
      <c r="C18" s="56"/>
      <c r="D18" s="56"/>
      <c r="E18" s="26"/>
      <c r="F18" s="51"/>
      <c r="G18" s="44"/>
      <c r="H18" s="4"/>
      <c r="I18" s="56"/>
      <c r="J18" s="67"/>
      <c r="K18" s="26"/>
      <c r="L18" s="51"/>
      <c r="M18" s="36"/>
    </row>
    <row r="19" spans="1:14" ht="16.5" thickBot="1" x14ac:dyDescent="0.3">
      <c r="A19" s="20" t="s">
        <v>11</v>
      </c>
      <c r="B19" s="72"/>
      <c r="C19" s="72"/>
      <c r="D19" s="72"/>
      <c r="E19" s="70"/>
      <c r="F19" s="73"/>
      <c r="G19" s="74"/>
      <c r="H19" s="23"/>
      <c r="I19" s="72"/>
      <c r="J19" s="77"/>
      <c r="K19" s="70"/>
      <c r="L19" s="73"/>
      <c r="M19" s="76"/>
    </row>
    <row r="20" spans="1:14" x14ac:dyDescent="0.2">
      <c r="A20" s="4"/>
      <c r="B20" s="26"/>
      <c r="C20" s="26"/>
      <c r="D20" s="50"/>
      <c r="E20" s="26"/>
      <c r="F20" s="51"/>
      <c r="G20" s="44"/>
      <c r="H20" s="6"/>
      <c r="I20" s="65"/>
      <c r="J20" s="66"/>
      <c r="K20" s="26"/>
      <c r="L20" s="51"/>
      <c r="M20" s="36"/>
    </row>
    <row r="21" spans="1:14" ht="15.75" x14ac:dyDescent="0.25">
      <c r="A21" s="7" t="s">
        <v>14</v>
      </c>
      <c r="B21" s="27">
        <v>10000</v>
      </c>
      <c r="C21" s="27"/>
      <c r="D21" s="52"/>
      <c r="E21" s="34">
        <v>3963.17</v>
      </c>
      <c r="F21" s="53">
        <f t="shared" ref="F21:F25" si="2">+E21-B21</f>
        <v>-6036.83</v>
      </c>
      <c r="G21" s="45"/>
      <c r="H21" s="8" t="s">
        <v>128</v>
      </c>
      <c r="I21" s="27"/>
      <c r="J21" s="53"/>
      <c r="K21" s="34">
        <v>1990</v>
      </c>
      <c r="L21" s="53">
        <f t="shared" ref="L21:L26" si="3">+K21-I21</f>
        <v>1990</v>
      </c>
      <c r="M21" s="37"/>
    </row>
    <row r="22" spans="1:14" ht="15.75" x14ac:dyDescent="0.25">
      <c r="A22" s="7" t="s">
        <v>17</v>
      </c>
      <c r="B22" s="27">
        <v>31200</v>
      </c>
      <c r="C22" s="27"/>
      <c r="D22" s="52"/>
      <c r="E22" s="34">
        <v>27657.19</v>
      </c>
      <c r="F22" s="53">
        <f t="shared" si="2"/>
        <v>-3542.8100000000013</v>
      </c>
      <c r="G22" s="45"/>
      <c r="H22" s="8" t="s">
        <v>20</v>
      </c>
      <c r="I22" s="27">
        <v>15500</v>
      </c>
      <c r="J22" s="53"/>
      <c r="K22" s="34">
        <v>11000</v>
      </c>
      <c r="L22" s="53">
        <f t="shared" si="3"/>
        <v>-4500</v>
      </c>
      <c r="M22" s="37"/>
    </row>
    <row r="23" spans="1:14" ht="15.75" x14ac:dyDescent="0.25">
      <c r="A23" s="7" t="s">
        <v>19</v>
      </c>
      <c r="B23" s="27">
        <v>17165</v>
      </c>
      <c r="C23" s="27"/>
      <c r="D23" s="52"/>
      <c r="E23" s="34">
        <v>30651.41</v>
      </c>
      <c r="F23" s="53">
        <f t="shared" si="2"/>
        <v>13486.41</v>
      </c>
      <c r="G23" s="45"/>
      <c r="H23" s="8" t="s">
        <v>100</v>
      </c>
      <c r="I23" s="27">
        <v>5000</v>
      </c>
      <c r="J23" s="53"/>
      <c r="K23" s="34">
        <v>5700</v>
      </c>
      <c r="L23" s="53">
        <f t="shared" si="3"/>
        <v>700</v>
      </c>
      <c r="M23" s="37"/>
    </row>
    <row r="24" spans="1:14" ht="15.75" x14ac:dyDescent="0.25">
      <c r="A24" s="7" t="s">
        <v>16</v>
      </c>
      <c r="B24" s="27">
        <v>5000</v>
      </c>
      <c r="C24" s="27"/>
      <c r="D24" s="52"/>
      <c r="E24" s="34">
        <v>8311.31</v>
      </c>
      <c r="F24" s="53">
        <f t="shared" si="2"/>
        <v>3311.3099999999995</v>
      </c>
      <c r="G24" s="45"/>
      <c r="H24" s="8" t="s">
        <v>18</v>
      </c>
      <c r="I24" s="27">
        <v>35000</v>
      </c>
      <c r="J24" s="53"/>
      <c r="K24" s="34">
        <f>21500</f>
        <v>21500</v>
      </c>
      <c r="L24" s="53">
        <f t="shared" si="3"/>
        <v>-13500</v>
      </c>
      <c r="M24" s="37"/>
    </row>
    <row r="25" spans="1:14" ht="15.75" x14ac:dyDescent="0.25">
      <c r="A25" s="7" t="s">
        <v>15</v>
      </c>
      <c r="B25" s="27">
        <v>10000</v>
      </c>
      <c r="C25" s="27"/>
      <c r="D25" s="52"/>
      <c r="E25" s="34"/>
      <c r="F25" s="53">
        <f t="shared" si="2"/>
        <v>-10000</v>
      </c>
      <c r="G25" s="45"/>
      <c r="H25" s="8" t="s">
        <v>103</v>
      </c>
      <c r="I25" s="27">
        <v>9200</v>
      </c>
      <c r="J25" s="53"/>
      <c r="K25" s="34">
        <v>14996.67</v>
      </c>
      <c r="L25" s="53">
        <f t="shared" si="3"/>
        <v>5796.67</v>
      </c>
      <c r="M25" s="37"/>
    </row>
    <row r="26" spans="1:14" ht="15.75" x14ac:dyDescent="0.25">
      <c r="A26" s="9" t="s">
        <v>13</v>
      </c>
      <c r="B26" s="27"/>
      <c r="C26" s="27">
        <f>SUM(B21:B25)</f>
        <v>73365</v>
      </c>
      <c r="D26" s="52"/>
      <c r="E26" s="34">
        <f>SUM(E21:E25)</f>
        <v>70583.08</v>
      </c>
      <c r="F26" s="53">
        <f>+E26-C26</f>
        <v>-2781.9199999999983</v>
      </c>
      <c r="G26" s="45">
        <f>+E26/C26</f>
        <v>0.96208110134260205</v>
      </c>
      <c r="H26" s="8" t="s">
        <v>136</v>
      </c>
      <c r="I26" s="27"/>
      <c r="J26" s="53"/>
      <c r="K26" s="34">
        <v>2413.59</v>
      </c>
      <c r="L26" s="53">
        <f t="shared" si="3"/>
        <v>2413.59</v>
      </c>
      <c r="M26" s="37"/>
    </row>
    <row r="27" spans="1:14" x14ac:dyDescent="0.2">
      <c r="A27" s="11"/>
      <c r="B27" s="27"/>
      <c r="C27" s="27"/>
      <c r="D27" s="52"/>
      <c r="E27" s="34"/>
      <c r="F27" s="53"/>
      <c r="G27" s="45"/>
      <c r="H27" s="10"/>
      <c r="I27" s="27"/>
      <c r="J27" s="53"/>
      <c r="K27" s="34"/>
      <c r="L27" s="53"/>
      <c r="M27" s="37"/>
    </row>
    <row r="28" spans="1:14" ht="15.75" x14ac:dyDescent="0.25">
      <c r="A28" s="7" t="s">
        <v>7</v>
      </c>
      <c r="B28" s="27"/>
      <c r="C28" s="27"/>
      <c r="D28" s="52"/>
      <c r="E28" s="34">
        <f>[1]Répartition!$O14</f>
        <v>89677.34350555556</v>
      </c>
      <c r="F28" s="53"/>
      <c r="G28" s="45"/>
      <c r="H28" s="8" t="s">
        <v>18</v>
      </c>
      <c r="I28" s="27">
        <v>13080</v>
      </c>
      <c r="J28" s="53"/>
      <c r="K28" s="34">
        <v>13080</v>
      </c>
      <c r="L28" s="53">
        <f>+K28-I28</f>
        <v>0</v>
      </c>
      <c r="M28" s="37"/>
    </row>
    <row r="29" spans="1:14" ht="15.75" x14ac:dyDescent="0.25">
      <c r="A29" s="7" t="s">
        <v>8</v>
      </c>
      <c r="B29" s="27"/>
      <c r="C29" s="27"/>
      <c r="D29" s="52"/>
      <c r="E29" s="34">
        <v>1892.91</v>
      </c>
      <c r="F29" s="53">
        <f t="shared" ref="F29" si="4">+E29-B29</f>
        <v>1892.91</v>
      </c>
      <c r="G29" s="45"/>
      <c r="H29" s="8" t="s">
        <v>79</v>
      </c>
      <c r="I29" s="27"/>
      <c r="J29" s="53"/>
      <c r="K29" s="34">
        <f>[2]Répartition!C52</f>
        <v>119.849</v>
      </c>
      <c r="L29" s="53">
        <f t="shared" ref="L29" si="5">+K29-I29</f>
        <v>119.849</v>
      </c>
      <c r="M29" s="37"/>
    </row>
    <row r="30" spans="1:14" ht="15.75" x14ac:dyDescent="0.25">
      <c r="A30" s="9" t="s">
        <v>127</v>
      </c>
      <c r="B30" s="27"/>
      <c r="C30" s="27"/>
      <c r="D30" s="52"/>
      <c r="E30" s="34">
        <f>SUM(E28:E29)</f>
        <v>91570.253505555564</v>
      </c>
      <c r="F30" s="53">
        <f>+E30-C30</f>
        <v>91570.253505555564</v>
      </c>
      <c r="G30" s="45" t="e">
        <f>+E30/C30</f>
        <v>#DIV/0!</v>
      </c>
      <c r="H30" s="8"/>
      <c r="I30" s="27"/>
      <c r="J30" s="53"/>
      <c r="K30" s="34"/>
      <c r="L30" s="53"/>
      <c r="M30" s="37"/>
    </row>
    <row r="31" spans="1:14" x14ac:dyDescent="0.2">
      <c r="A31" s="11"/>
      <c r="B31" s="27"/>
      <c r="C31" s="27"/>
      <c r="D31" s="52"/>
      <c r="E31" s="34"/>
      <c r="F31" s="53"/>
      <c r="G31" s="45"/>
      <c r="H31" s="10"/>
      <c r="I31" s="27"/>
      <c r="J31" s="53"/>
      <c r="K31" s="34"/>
      <c r="L31" s="53"/>
      <c r="M31" s="37"/>
    </row>
    <row r="32" spans="1:14" ht="15.75" x14ac:dyDescent="0.25">
      <c r="A32" s="7" t="s">
        <v>22</v>
      </c>
      <c r="B32" s="27">
        <v>58000</v>
      </c>
      <c r="C32" s="27"/>
      <c r="D32" s="52"/>
      <c r="E32" s="34">
        <v>66572.59</v>
      </c>
      <c r="F32" s="53">
        <f t="shared" ref="F32:F33" si="6">+E32-B32</f>
        <v>8572.5899999999965</v>
      </c>
      <c r="G32" s="45"/>
      <c r="H32" s="8" t="s">
        <v>103</v>
      </c>
      <c r="I32" s="27">
        <v>16000</v>
      </c>
      <c r="J32" s="53"/>
      <c r="K32" s="34">
        <v>17976.12</v>
      </c>
      <c r="L32" s="53">
        <f t="shared" ref="L32:L37" si="7">+K32-I32</f>
        <v>1976.119999999999</v>
      </c>
      <c r="M32" s="37"/>
    </row>
    <row r="33" spans="1:14" ht="15.75" x14ac:dyDescent="0.25">
      <c r="A33" s="7" t="s">
        <v>8</v>
      </c>
      <c r="B33" s="27">
        <v>17000</v>
      </c>
      <c r="C33" s="27"/>
      <c r="D33" s="52"/>
      <c r="E33" s="34">
        <v>217</v>
      </c>
      <c r="F33" s="53">
        <f t="shared" si="6"/>
        <v>-16783</v>
      </c>
      <c r="G33" s="45"/>
      <c r="H33" s="10" t="s">
        <v>104</v>
      </c>
      <c r="I33" s="27">
        <v>16000</v>
      </c>
      <c r="J33" s="53"/>
      <c r="K33" s="34">
        <v>30000</v>
      </c>
      <c r="L33" s="53">
        <f t="shared" si="7"/>
        <v>14000</v>
      </c>
      <c r="M33" s="37"/>
    </row>
    <row r="34" spans="1:14" ht="15.75" x14ac:dyDescent="0.25">
      <c r="A34" s="9" t="s">
        <v>21</v>
      </c>
      <c r="B34" s="27"/>
      <c r="C34" s="27">
        <f>SUM(B32:B33)</f>
        <v>75000</v>
      </c>
      <c r="D34" s="52"/>
      <c r="E34" s="34">
        <f>SUM(E32:E33)</f>
        <v>66789.59</v>
      </c>
      <c r="F34" s="53">
        <f>+E34-C34</f>
        <v>-8210.4100000000035</v>
      </c>
      <c r="G34" s="45">
        <f>+E34/C34</f>
        <v>0.89052786666666661</v>
      </c>
      <c r="H34" s="8" t="s">
        <v>18</v>
      </c>
      <c r="I34" s="27">
        <v>3000</v>
      </c>
      <c r="J34" s="53"/>
      <c r="K34" s="34">
        <v>10000</v>
      </c>
      <c r="L34" s="53">
        <f t="shared" si="7"/>
        <v>7000</v>
      </c>
      <c r="M34" s="37"/>
    </row>
    <row r="35" spans="1:14" x14ac:dyDescent="0.2">
      <c r="A35" s="11"/>
      <c r="B35" s="27"/>
      <c r="C35" s="27"/>
      <c r="D35" s="52"/>
      <c r="E35" s="34"/>
      <c r="F35" s="53"/>
      <c r="G35" s="45"/>
      <c r="H35" s="10"/>
      <c r="I35" s="27"/>
      <c r="J35" s="53"/>
      <c r="K35" s="34"/>
      <c r="L35" s="53"/>
      <c r="M35" s="37"/>
    </row>
    <row r="36" spans="1:14" ht="15.75" x14ac:dyDescent="0.25">
      <c r="A36" s="7" t="s">
        <v>25</v>
      </c>
      <c r="B36" s="27">
        <v>9000</v>
      </c>
      <c r="C36" s="27"/>
      <c r="D36" s="52"/>
      <c r="E36" s="34">
        <v>513</v>
      </c>
      <c r="F36" s="53">
        <f t="shared" ref="F36:F37" si="8">+E36-B36</f>
        <v>-8487</v>
      </c>
      <c r="G36" s="45"/>
      <c r="H36" s="10"/>
      <c r="I36" s="27"/>
      <c r="J36" s="53"/>
      <c r="K36" s="34"/>
      <c r="L36" s="53"/>
      <c r="M36" s="37"/>
    </row>
    <row r="37" spans="1:14" ht="15.75" x14ac:dyDescent="0.25">
      <c r="A37" s="7" t="s">
        <v>8</v>
      </c>
      <c r="B37" s="27">
        <v>3500</v>
      </c>
      <c r="C37" s="27"/>
      <c r="D37" s="52"/>
      <c r="E37" s="34">
        <v>16.7</v>
      </c>
      <c r="F37" s="53">
        <f t="shared" si="8"/>
        <v>-3483.3</v>
      </c>
      <c r="G37" s="45"/>
      <c r="H37" s="8" t="s">
        <v>18</v>
      </c>
      <c r="I37" s="27"/>
      <c r="J37" s="53"/>
      <c r="K37" s="34">
        <v>867.01</v>
      </c>
      <c r="L37" s="53">
        <f t="shared" si="7"/>
        <v>867.01</v>
      </c>
      <c r="M37" s="37"/>
    </row>
    <row r="38" spans="1:14" ht="15.75" x14ac:dyDescent="0.25">
      <c r="A38" s="9" t="s">
        <v>24</v>
      </c>
      <c r="B38" s="27"/>
      <c r="C38" s="27">
        <f>SUM(B36:B37)</f>
        <v>12500</v>
      </c>
      <c r="D38" s="52"/>
      <c r="E38" s="34">
        <f>SUM(E36:E37)</f>
        <v>529.70000000000005</v>
      </c>
      <c r="F38" s="53">
        <f>+E38-C38</f>
        <v>-11970.3</v>
      </c>
      <c r="G38" s="45">
        <f>+E38/C38</f>
        <v>4.2376000000000004E-2</v>
      </c>
      <c r="H38" s="10"/>
      <c r="I38" s="27"/>
      <c r="J38" s="53"/>
      <c r="K38" s="34"/>
      <c r="L38" s="53"/>
      <c r="M38" s="37"/>
    </row>
    <row r="39" spans="1:14" x14ac:dyDescent="0.2">
      <c r="A39" s="11"/>
      <c r="B39" s="27"/>
      <c r="C39" s="27"/>
      <c r="D39" s="52"/>
      <c r="E39" s="34"/>
      <c r="F39" s="53"/>
      <c r="G39" s="45"/>
      <c r="H39" s="10"/>
      <c r="I39" s="27"/>
      <c r="J39" s="53"/>
      <c r="K39" s="34"/>
      <c r="L39" s="53"/>
      <c r="M39" s="37"/>
    </row>
    <row r="40" spans="1:14" ht="15.75" x14ac:dyDescent="0.25">
      <c r="A40" s="7" t="s">
        <v>7</v>
      </c>
      <c r="B40" s="27">
        <v>65000</v>
      </c>
      <c r="C40" s="27"/>
      <c r="D40" s="52"/>
      <c r="E40" s="34">
        <f>[1]Répartition!$O16</f>
        <v>27703.096250000006</v>
      </c>
      <c r="F40" s="53">
        <f t="shared" ref="F40:F41" si="9">+E40-B40</f>
        <v>-37296.903749999998</v>
      </c>
      <c r="G40" s="45"/>
      <c r="H40" s="8" t="s">
        <v>79</v>
      </c>
      <c r="I40" s="27"/>
      <c r="J40" s="53"/>
      <c r="K40" s="34">
        <f>[2]Répartition!C54</f>
        <v>119.849</v>
      </c>
      <c r="L40" s="53">
        <f t="shared" ref="L40" si="10">+K40-I40</f>
        <v>119.849</v>
      </c>
      <c r="M40" s="37"/>
    </row>
    <row r="41" spans="1:14" ht="15.75" x14ac:dyDescent="0.25">
      <c r="A41" s="7" t="s">
        <v>8</v>
      </c>
      <c r="B41" s="27">
        <v>2000</v>
      </c>
      <c r="C41" s="27"/>
      <c r="D41" s="52"/>
      <c r="E41" s="34"/>
      <c r="F41" s="53">
        <f t="shared" si="9"/>
        <v>-2000</v>
      </c>
      <c r="G41" s="45"/>
      <c r="H41" s="8"/>
      <c r="I41" s="27"/>
      <c r="J41" s="53"/>
      <c r="K41" s="34"/>
      <c r="L41" s="53"/>
      <c r="M41" s="37"/>
    </row>
    <row r="42" spans="1:14" ht="15.75" x14ac:dyDescent="0.25">
      <c r="A42" s="9" t="s">
        <v>23</v>
      </c>
      <c r="B42" s="27"/>
      <c r="C42" s="27">
        <f>SUM(B40:B41)</f>
        <v>67000</v>
      </c>
      <c r="D42" s="52"/>
      <c r="E42" s="34">
        <f>SUM(E40:E41)</f>
        <v>27703.096250000006</v>
      </c>
      <c r="F42" s="53">
        <f>+E42-C42</f>
        <v>-39296.903749999998</v>
      </c>
      <c r="G42" s="45">
        <f>+E42/C42</f>
        <v>0.41347904850746275</v>
      </c>
      <c r="H42" s="8" t="s">
        <v>111</v>
      </c>
      <c r="I42" s="27">
        <v>60215</v>
      </c>
      <c r="J42" s="53"/>
      <c r="K42" s="33"/>
      <c r="L42" s="53">
        <f>+K42-I42</f>
        <v>-60215</v>
      </c>
      <c r="M42" s="37"/>
    </row>
    <row r="43" spans="1:14" ht="15.75" x14ac:dyDescent="0.25">
      <c r="A43" s="32"/>
      <c r="B43" s="57"/>
      <c r="C43" s="57"/>
      <c r="D43" s="58"/>
      <c r="E43" s="33"/>
      <c r="F43" s="59"/>
      <c r="G43" s="47"/>
      <c r="H43" s="31"/>
      <c r="I43" s="57"/>
      <c r="J43" s="59"/>
      <c r="K43" s="33"/>
      <c r="L43" s="59"/>
      <c r="M43" s="39"/>
    </row>
    <row r="44" spans="1:14" ht="15.75" x14ac:dyDescent="0.25">
      <c r="A44" s="7" t="s">
        <v>130</v>
      </c>
      <c r="B44" s="57"/>
      <c r="C44" s="57"/>
      <c r="D44" s="58"/>
      <c r="E44" s="33">
        <v>9659.7099999999991</v>
      </c>
      <c r="F44" s="53">
        <f t="shared" ref="F44:F45" si="11">+E44-B44</f>
        <v>9659.7099999999991</v>
      </c>
      <c r="G44" s="47"/>
      <c r="H44" s="31"/>
      <c r="I44" s="57"/>
      <c r="J44" s="59"/>
      <c r="K44" s="33"/>
      <c r="L44" s="59"/>
      <c r="M44" s="39"/>
    </row>
    <row r="45" spans="1:14" ht="15.75" x14ac:dyDescent="0.25">
      <c r="A45" s="9" t="s">
        <v>129</v>
      </c>
      <c r="B45" s="57"/>
      <c r="C45" s="57"/>
      <c r="D45" s="58"/>
      <c r="E45" s="33">
        <f>+E44</f>
        <v>9659.7099999999991</v>
      </c>
      <c r="F45" s="53">
        <f t="shared" si="11"/>
        <v>9659.7099999999991</v>
      </c>
      <c r="G45" s="45" t="e">
        <f>+E45/C45</f>
        <v>#DIV/0!</v>
      </c>
      <c r="H45" s="31" t="s">
        <v>104</v>
      </c>
      <c r="I45" s="57"/>
      <c r="J45" s="59"/>
      <c r="K45" s="33">
        <v>5000</v>
      </c>
      <c r="L45" s="59"/>
      <c r="M45" s="39"/>
    </row>
    <row r="46" spans="1:14" ht="13.5" thickBot="1" x14ac:dyDescent="0.25">
      <c r="A46" s="12"/>
      <c r="B46" s="28"/>
      <c r="C46" s="28"/>
      <c r="D46" s="54"/>
      <c r="E46" s="28"/>
      <c r="F46" s="55"/>
      <c r="G46" s="46"/>
      <c r="H46" s="13"/>
      <c r="I46" s="28"/>
      <c r="J46" s="55"/>
      <c r="K46" s="28"/>
      <c r="L46" s="55"/>
      <c r="M46" s="38"/>
    </row>
    <row r="47" spans="1:14" ht="16.5" thickBot="1" x14ac:dyDescent="0.3">
      <c r="A47" s="20" t="s">
        <v>12</v>
      </c>
      <c r="B47" s="72"/>
      <c r="C47" s="72"/>
      <c r="D47" s="72">
        <f>SUM(C26:C42)</f>
        <v>227865</v>
      </c>
      <c r="E47" s="70">
        <f>+E26+E30+E34+E38+E42+E45</f>
        <v>266835.42975555558</v>
      </c>
      <c r="F47" s="73">
        <f>-D47+E47</f>
        <v>38970.429755555582</v>
      </c>
      <c r="G47" s="74">
        <f>+E47/D47</f>
        <v>1.1710242018544119</v>
      </c>
      <c r="H47" s="23"/>
      <c r="I47" s="72"/>
      <c r="J47" s="77">
        <f>SUM(I21:I42)</f>
        <v>172995</v>
      </c>
      <c r="K47" s="77">
        <f>SUM(K21:K45)</f>
        <v>134763.08799999999</v>
      </c>
      <c r="L47" s="73">
        <f>-J47+K47</f>
        <v>-38231.912000000011</v>
      </c>
      <c r="M47" s="78">
        <f>+K47/J47</f>
        <v>0.77899990173126388</v>
      </c>
      <c r="N47" s="24"/>
    </row>
    <row r="48" spans="1:14" ht="3" customHeight="1" thickBot="1" x14ac:dyDescent="0.25">
      <c r="A48" s="4"/>
      <c r="B48" s="56"/>
      <c r="C48" s="56"/>
      <c r="D48" s="56"/>
      <c r="E48" s="26"/>
      <c r="F48" s="51"/>
      <c r="G48" s="44"/>
      <c r="H48" s="4"/>
      <c r="I48" s="56"/>
      <c r="J48" s="67"/>
      <c r="K48" s="26"/>
      <c r="L48" s="51"/>
      <c r="M48" s="36"/>
    </row>
    <row r="49" spans="1:13" ht="16.5" thickBot="1" x14ac:dyDescent="0.3">
      <c r="A49" s="20" t="s">
        <v>26</v>
      </c>
      <c r="B49" s="72"/>
      <c r="C49" s="72"/>
      <c r="D49" s="72"/>
      <c r="E49" s="70"/>
      <c r="F49" s="73"/>
      <c r="G49" s="74"/>
      <c r="H49" s="23"/>
      <c r="I49" s="72"/>
      <c r="J49" s="77"/>
      <c r="K49" s="70"/>
      <c r="L49" s="73"/>
      <c r="M49" s="76"/>
    </row>
    <row r="50" spans="1:13" x14ac:dyDescent="0.2">
      <c r="A50" s="14"/>
      <c r="B50" s="29"/>
      <c r="C50" s="29"/>
      <c r="D50" s="60"/>
      <c r="E50" s="29"/>
      <c r="F50" s="61"/>
      <c r="G50" s="48"/>
      <c r="H50" s="15"/>
      <c r="I50" s="29"/>
      <c r="J50" s="61"/>
      <c r="K50" s="29"/>
      <c r="L50" s="61"/>
      <c r="M50" s="40"/>
    </row>
    <row r="51" spans="1:13" ht="15.75" x14ac:dyDescent="0.25">
      <c r="A51" s="7" t="s">
        <v>14</v>
      </c>
      <c r="B51" s="27">
        <v>15000</v>
      </c>
      <c r="C51" s="27"/>
      <c r="D51" s="52"/>
      <c r="E51" s="34">
        <v>13684.56</v>
      </c>
      <c r="F51" s="53">
        <f t="shared" ref="F51:F52" si="12">+E51-B51</f>
        <v>-1315.4400000000005</v>
      </c>
      <c r="G51" s="45"/>
      <c r="H51" s="8" t="s">
        <v>103</v>
      </c>
      <c r="I51" s="27">
        <v>4000</v>
      </c>
      <c r="J51" s="53"/>
      <c r="K51" s="34">
        <v>9350</v>
      </c>
      <c r="L51" s="53">
        <f>+K51-I51</f>
        <v>5350</v>
      </c>
      <c r="M51" s="37"/>
    </row>
    <row r="52" spans="1:13" ht="15.75" x14ac:dyDescent="0.25">
      <c r="A52" s="7" t="s">
        <v>29</v>
      </c>
      <c r="B52" s="27">
        <v>7000</v>
      </c>
      <c r="C52" s="27"/>
      <c r="D52" s="52"/>
      <c r="E52" s="34">
        <v>13189.89</v>
      </c>
      <c r="F52" s="53">
        <f t="shared" si="12"/>
        <v>6189.8899999999994</v>
      </c>
      <c r="G52" s="45"/>
      <c r="H52" s="10" t="s">
        <v>104</v>
      </c>
      <c r="I52" s="27">
        <v>2000</v>
      </c>
      <c r="J52" s="53"/>
      <c r="K52" s="34">
        <v>9000</v>
      </c>
      <c r="L52" s="53">
        <f>+K52-I52</f>
        <v>7000</v>
      </c>
      <c r="M52" s="37"/>
    </row>
    <row r="53" spans="1:13" ht="15.75" x14ac:dyDescent="0.25">
      <c r="A53" s="9" t="s">
        <v>30</v>
      </c>
      <c r="B53" s="27"/>
      <c r="C53" s="27">
        <f>SUM(B51:B52)</f>
        <v>22000</v>
      </c>
      <c r="D53" s="52"/>
      <c r="E53" s="34">
        <f>SUM(E51:E52)</f>
        <v>26874.449999999997</v>
      </c>
      <c r="F53" s="53">
        <f>+E53-C53</f>
        <v>4874.4499999999971</v>
      </c>
      <c r="G53" s="45">
        <f>+E53/C53</f>
        <v>1.221565909090909</v>
      </c>
      <c r="H53" s="8" t="s">
        <v>18</v>
      </c>
      <c r="I53" s="27"/>
      <c r="J53" s="53"/>
      <c r="K53" s="34">
        <f>800+5000+2000</f>
        <v>7800</v>
      </c>
      <c r="L53" s="53"/>
      <c r="M53" s="37"/>
    </row>
    <row r="54" spans="1:13" x14ac:dyDescent="0.2">
      <c r="A54" s="11"/>
      <c r="B54" s="27"/>
      <c r="C54" s="27"/>
      <c r="D54" s="52"/>
      <c r="E54" s="34"/>
      <c r="F54" s="53"/>
      <c r="G54" s="45"/>
      <c r="H54" s="10"/>
      <c r="I54" s="27"/>
      <c r="J54" s="53"/>
      <c r="K54" s="34"/>
      <c r="L54" s="53"/>
      <c r="M54" s="37"/>
    </row>
    <row r="55" spans="1:13" ht="15.75" x14ac:dyDescent="0.25">
      <c r="A55" s="7" t="s">
        <v>7</v>
      </c>
      <c r="B55" s="27">
        <v>20000</v>
      </c>
      <c r="C55" s="27"/>
      <c r="D55" s="52"/>
      <c r="E55" s="34">
        <f>[1]Répartition!$O18</f>
        <v>9085.7752500000006</v>
      </c>
      <c r="F55" s="53">
        <f t="shared" ref="F55:F56" si="13">+E55-B55</f>
        <v>-10914.224749999999</v>
      </c>
      <c r="G55" s="45"/>
      <c r="H55" s="8" t="s">
        <v>79</v>
      </c>
      <c r="I55" s="27"/>
      <c r="J55" s="53"/>
      <c r="K55" s="34">
        <f>[2]Répartition!C56</f>
        <v>119.849</v>
      </c>
      <c r="L55" s="53">
        <f t="shared" ref="L55" si="14">+K55-I55</f>
        <v>119.849</v>
      </c>
      <c r="M55" s="37"/>
    </row>
    <row r="56" spans="1:13" ht="15.75" x14ac:dyDescent="0.25">
      <c r="A56" s="7" t="s">
        <v>8</v>
      </c>
      <c r="B56" s="27"/>
      <c r="C56" s="27"/>
      <c r="D56" s="52"/>
      <c r="E56" s="34">
        <v>787.46</v>
      </c>
      <c r="F56" s="53">
        <f t="shared" si="13"/>
        <v>787.46</v>
      </c>
      <c r="G56" s="45"/>
      <c r="H56" s="10"/>
      <c r="I56" s="27"/>
      <c r="J56" s="53"/>
      <c r="K56" s="27"/>
      <c r="L56" s="53"/>
      <c r="M56" s="37"/>
    </row>
    <row r="57" spans="1:13" ht="15.75" x14ac:dyDescent="0.25">
      <c r="A57" s="9" t="s">
        <v>28</v>
      </c>
      <c r="B57" s="27"/>
      <c r="C57" s="27">
        <f>SUM(B55:B56)</f>
        <v>20000</v>
      </c>
      <c r="D57" s="52"/>
      <c r="E57" s="34">
        <f>SUM(E55:E56)</f>
        <v>9873.2352500000015</v>
      </c>
      <c r="F57" s="53">
        <f>+E57-C57</f>
        <v>-10126.764749999998</v>
      </c>
      <c r="G57" s="45">
        <f>+E57/C57</f>
        <v>0.4936617625000001</v>
      </c>
      <c r="H57" s="10"/>
      <c r="I57" s="27"/>
      <c r="J57" s="53"/>
      <c r="K57" s="27"/>
      <c r="L57" s="53"/>
      <c r="M57" s="37"/>
    </row>
    <row r="58" spans="1:13" ht="21.75" customHeight="1" thickBot="1" x14ac:dyDescent="0.25">
      <c r="A58" s="12"/>
      <c r="B58" s="28"/>
      <c r="C58" s="28"/>
      <c r="D58" s="54"/>
      <c r="E58" s="28"/>
      <c r="F58" s="55"/>
      <c r="G58" s="46"/>
      <c r="H58" s="13"/>
      <c r="I58" s="28"/>
      <c r="J58" s="55"/>
      <c r="K58" s="28"/>
      <c r="L58" s="55"/>
      <c r="M58" s="38"/>
    </row>
    <row r="59" spans="1:13" ht="16.5" thickBot="1" x14ac:dyDescent="0.3">
      <c r="A59" s="20" t="s">
        <v>27</v>
      </c>
      <c r="B59" s="72"/>
      <c r="C59" s="72"/>
      <c r="D59" s="72">
        <f>SUM(C53:C57)</f>
        <v>42000</v>
      </c>
      <c r="E59" s="70">
        <f>+E53+E57</f>
        <v>36747.685249999995</v>
      </c>
      <c r="F59" s="73">
        <f>-D59+E59</f>
        <v>-5252.314750000005</v>
      </c>
      <c r="G59" s="74">
        <f>+E59/D59</f>
        <v>0.8749448869047618</v>
      </c>
      <c r="H59" s="23"/>
      <c r="I59" s="72"/>
      <c r="J59" s="77">
        <f>SUM(I51:I57)</f>
        <v>6000</v>
      </c>
      <c r="K59" s="77">
        <f>SUM(K51:K57)</f>
        <v>26269.848999999998</v>
      </c>
      <c r="L59" s="73">
        <f>-J59+K59</f>
        <v>20269.848999999998</v>
      </c>
      <c r="M59" s="78">
        <f>+K59/J59</f>
        <v>4.3783081666666668</v>
      </c>
    </row>
    <row r="60" spans="1:13" ht="6" customHeight="1" thickBot="1" x14ac:dyDescent="0.25">
      <c r="A60" s="4"/>
      <c r="B60" s="56"/>
      <c r="C60" s="56"/>
      <c r="D60" s="56"/>
      <c r="E60" s="26"/>
      <c r="F60" s="51"/>
      <c r="G60" s="44"/>
      <c r="H60" s="4"/>
      <c r="I60" s="56"/>
      <c r="J60" s="67"/>
      <c r="K60" s="26"/>
      <c r="L60" s="51"/>
      <c r="M60" s="36"/>
    </row>
    <row r="61" spans="1:13" ht="16.5" thickBot="1" x14ac:dyDescent="0.3">
      <c r="A61" s="20" t="s">
        <v>32</v>
      </c>
      <c r="B61" s="72"/>
      <c r="C61" s="72"/>
      <c r="D61" s="72"/>
      <c r="E61" s="70"/>
      <c r="F61" s="73"/>
      <c r="G61" s="74"/>
      <c r="H61" s="23"/>
      <c r="I61" s="72"/>
      <c r="J61" s="77"/>
      <c r="K61" s="70"/>
      <c r="L61" s="73"/>
      <c r="M61" s="76"/>
    </row>
    <row r="62" spans="1:13" x14ac:dyDescent="0.2">
      <c r="A62" s="14"/>
      <c r="B62" s="29"/>
      <c r="C62" s="29"/>
      <c r="D62" s="60"/>
      <c r="E62" s="29"/>
      <c r="F62" s="61"/>
      <c r="G62" s="48"/>
      <c r="H62" s="15"/>
      <c r="I62" s="29"/>
      <c r="J62" s="61"/>
      <c r="K62" s="29"/>
      <c r="L62" s="61"/>
      <c r="M62" s="40"/>
    </row>
    <row r="63" spans="1:13" ht="15.75" x14ac:dyDescent="0.25">
      <c r="A63" s="7" t="s">
        <v>33</v>
      </c>
      <c r="B63" s="27">
        <v>18000</v>
      </c>
      <c r="C63" s="27"/>
      <c r="D63" s="52"/>
      <c r="E63" s="34">
        <v>3168</v>
      </c>
      <c r="F63" s="53">
        <f t="shared" ref="F63:F64" si="15">+E63-B63</f>
        <v>-14832</v>
      </c>
      <c r="G63" s="45"/>
      <c r="H63" s="8" t="s">
        <v>34</v>
      </c>
      <c r="I63" s="27">
        <v>9000</v>
      </c>
      <c r="J63" s="53"/>
      <c r="K63" s="34">
        <f>-805+5888.75</f>
        <v>5083.75</v>
      </c>
      <c r="L63" s="53">
        <f>+K63-I63</f>
        <v>-3916.25</v>
      </c>
      <c r="M63" s="37"/>
    </row>
    <row r="64" spans="1:13" ht="15.75" x14ac:dyDescent="0.25">
      <c r="A64" s="7" t="s">
        <v>29</v>
      </c>
      <c r="B64" s="27">
        <v>7000</v>
      </c>
      <c r="C64" s="27"/>
      <c r="D64" s="52"/>
      <c r="E64" s="34">
        <v>6009.8</v>
      </c>
      <c r="F64" s="53">
        <f t="shared" si="15"/>
        <v>-990.19999999999982</v>
      </c>
      <c r="G64" s="45"/>
      <c r="H64" s="8" t="s">
        <v>44</v>
      </c>
      <c r="I64" s="27"/>
      <c r="J64" s="53"/>
      <c r="K64" s="34">
        <v>805</v>
      </c>
      <c r="L64" s="53"/>
      <c r="M64" s="37"/>
    </row>
    <row r="65" spans="1:13" ht="15.75" x14ac:dyDescent="0.25">
      <c r="A65" s="9" t="s">
        <v>35</v>
      </c>
      <c r="B65" s="27"/>
      <c r="C65" s="27">
        <f>SUM(B63:B64)</f>
        <v>25000</v>
      </c>
      <c r="D65" s="52"/>
      <c r="E65" s="34">
        <f>SUM(E63:E64)</f>
        <v>9177.7999999999993</v>
      </c>
      <c r="F65" s="53">
        <f>+E65-C65</f>
        <v>-15822.2</v>
      </c>
      <c r="G65" s="45">
        <f>+E65/C65</f>
        <v>0.36711199999999999</v>
      </c>
      <c r="H65" s="8" t="s">
        <v>18</v>
      </c>
      <c r="I65" s="27"/>
      <c r="J65" s="53"/>
      <c r="K65" s="34"/>
      <c r="L65" s="53">
        <f>+K65-I65</f>
        <v>0</v>
      </c>
      <c r="M65" s="37"/>
    </row>
    <row r="66" spans="1:13" x14ac:dyDescent="0.2">
      <c r="A66" s="11"/>
      <c r="B66" s="27"/>
      <c r="C66" s="27"/>
      <c r="D66" s="52"/>
      <c r="E66" s="34"/>
      <c r="F66" s="53"/>
      <c r="G66" s="45"/>
      <c r="H66" s="10"/>
      <c r="I66" s="27"/>
      <c r="J66" s="53"/>
      <c r="K66" s="34"/>
      <c r="L66" s="53"/>
      <c r="M66" s="37"/>
    </row>
    <row r="67" spans="1:13" ht="15.75" x14ac:dyDescent="0.25">
      <c r="A67" s="85" t="s">
        <v>93</v>
      </c>
      <c r="B67" s="27"/>
      <c r="C67" s="27"/>
      <c r="D67" s="52"/>
      <c r="E67" s="34"/>
      <c r="F67" s="53"/>
      <c r="G67" s="45"/>
      <c r="H67" s="8" t="s">
        <v>95</v>
      </c>
      <c r="I67" s="27"/>
      <c r="J67" s="53"/>
      <c r="K67" s="34">
        <v>1137.5</v>
      </c>
      <c r="L67" s="53">
        <f>+K67-I67</f>
        <v>1137.5</v>
      </c>
      <c r="M67" s="37"/>
    </row>
    <row r="68" spans="1:13" ht="15.75" x14ac:dyDescent="0.25">
      <c r="A68" s="7" t="s">
        <v>94</v>
      </c>
      <c r="B68" s="27">
        <v>1700</v>
      </c>
      <c r="C68" s="27"/>
      <c r="D68" s="52"/>
      <c r="E68" s="34">
        <v>376.12</v>
      </c>
      <c r="F68" s="53">
        <f t="shared" ref="F68:F69" si="16">+E68-B68</f>
        <v>-1323.88</v>
      </c>
      <c r="G68" s="45"/>
      <c r="H68" s="8" t="s">
        <v>18</v>
      </c>
      <c r="I68" s="27">
        <v>8000</v>
      </c>
      <c r="J68" s="53"/>
      <c r="K68" s="34">
        <v>2500</v>
      </c>
      <c r="L68" s="53">
        <f>+K68-I68</f>
        <v>-5500</v>
      </c>
      <c r="M68" s="37"/>
    </row>
    <row r="69" spans="1:13" ht="15.75" x14ac:dyDescent="0.25">
      <c r="A69" s="85" t="s">
        <v>141</v>
      </c>
      <c r="B69" s="27"/>
      <c r="C69" s="27"/>
      <c r="D69" s="52"/>
      <c r="E69" s="34"/>
      <c r="F69" s="53">
        <f t="shared" si="16"/>
        <v>0</v>
      </c>
      <c r="G69" s="45"/>
      <c r="H69" s="8"/>
      <c r="I69" s="27"/>
      <c r="J69" s="53"/>
      <c r="K69" s="34"/>
      <c r="L69" s="53"/>
      <c r="M69" s="37"/>
    </row>
    <row r="70" spans="1:13" ht="15.75" x14ac:dyDescent="0.25">
      <c r="A70" s="9" t="s">
        <v>37</v>
      </c>
      <c r="B70" s="27"/>
      <c r="C70" s="27">
        <f>SUM(B67:B68)</f>
        <v>1700</v>
      </c>
      <c r="D70" s="52"/>
      <c r="E70" s="34">
        <f>SUM(E67:E69)</f>
        <v>376.12</v>
      </c>
      <c r="F70" s="53">
        <f>+E70-C70</f>
        <v>-1323.88</v>
      </c>
      <c r="G70" s="45">
        <f>+E70/C70</f>
        <v>0.22124705882352941</v>
      </c>
      <c r="H70" s="8" t="s">
        <v>105</v>
      </c>
      <c r="I70" s="27">
        <v>10700</v>
      </c>
      <c r="J70" s="53"/>
      <c r="K70" s="34"/>
      <c r="L70" s="53">
        <f>+K70-I70</f>
        <v>-10700</v>
      </c>
      <c r="M70" s="37"/>
    </row>
    <row r="71" spans="1:13" x14ac:dyDescent="0.2">
      <c r="A71" s="11"/>
      <c r="B71" s="27"/>
      <c r="C71" s="27"/>
      <c r="D71" s="52"/>
      <c r="E71" s="34"/>
      <c r="F71" s="53"/>
      <c r="G71" s="45"/>
      <c r="H71" s="10"/>
      <c r="I71" s="27"/>
      <c r="J71" s="53"/>
      <c r="K71" s="34"/>
      <c r="L71" s="53"/>
      <c r="M71" s="37"/>
    </row>
    <row r="72" spans="1:13" ht="15.75" x14ac:dyDescent="0.25">
      <c r="A72" s="7" t="s">
        <v>7</v>
      </c>
      <c r="B72" s="27">
        <v>3500</v>
      </c>
      <c r="C72" s="27"/>
      <c r="D72" s="52"/>
      <c r="E72" s="34">
        <f>[1]Répartition!$O20</f>
        <v>649.30513888888891</v>
      </c>
      <c r="F72" s="53">
        <f t="shared" ref="F72:F73" si="17">+E72-B72</f>
        <v>-2850.6948611111111</v>
      </c>
      <c r="G72" s="45"/>
      <c r="H72" s="8" t="s">
        <v>79</v>
      </c>
      <c r="I72" s="27"/>
      <c r="J72" s="53"/>
      <c r="K72" s="34">
        <f>[2]Répartition!C58</f>
        <v>119.849</v>
      </c>
      <c r="L72" s="53">
        <f t="shared" ref="L72" si="18">+K72-I72</f>
        <v>119.849</v>
      </c>
      <c r="M72" s="37"/>
    </row>
    <row r="73" spans="1:13" ht="15.75" x14ac:dyDescent="0.25">
      <c r="A73" s="7" t="s">
        <v>8</v>
      </c>
      <c r="B73" s="27">
        <v>3450</v>
      </c>
      <c r="C73" s="27"/>
      <c r="D73" s="52"/>
      <c r="E73" s="34">
        <v>595.77</v>
      </c>
      <c r="F73" s="53">
        <f t="shared" si="17"/>
        <v>-2854.23</v>
      </c>
      <c r="G73" s="45"/>
      <c r="H73" s="8"/>
      <c r="I73" s="27"/>
      <c r="J73" s="53"/>
      <c r="K73" s="27"/>
      <c r="L73" s="53"/>
      <c r="M73" s="37"/>
    </row>
    <row r="74" spans="1:13" ht="15.75" x14ac:dyDescent="0.25">
      <c r="A74" s="9" t="s">
        <v>36</v>
      </c>
      <c r="B74" s="27"/>
      <c r="C74" s="27">
        <f>SUM(B72:B73)</f>
        <v>6950</v>
      </c>
      <c r="D74" s="52"/>
      <c r="E74" s="34">
        <f>SUM(E72:E73)</f>
        <v>1245.0751388888889</v>
      </c>
      <c r="F74" s="53">
        <f>+E74-C74</f>
        <v>-5704.9248611111107</v>
      </c>
      <c r="G74" s="45">
        <f>+E74/C74</f>
        <v>0.17914750199840127</v>
      </c>
      <c r="H74" s="10"/>
      <c r="I74" s="27"/>
      <c r="J74" s="53"/>
      <c r="K74" s="27"/>
      <c r="L74" s="53"/>
      <c r="M74" s="37"/>
    </row>
    <row r="75" spans="1:13" ht="21.75" customHeight="1" thickBot="1" x14ac:dyDescent="0.25">
      <c r="A75" s="12"/>
      <c r="B75" s="28"/>
      <c r="C75" s="28"/>
      <c r="D75" s="54"/>
      <c r="E75" s="28"/>
      <c r="F75" s="55"/>
      <c r="G75" s="46"/>
      <c r="H75" s="13"/>
      <c r="I75" s="28"/>
      <c r="J75" s="55"/>
      <c r="K75" s="28"/>
      <c r="L75" s="55"/>
      <c r="M75" s="38"/>
    </row>
    <row r="76" spans="1:13" ht="16.5" thickBot="1" x14ac:dyDescent="0.3">
      <c r="A76" s="20" t="s">
        <v>31</v>
      </c>
      <c r="B76" s="72"/>
      <c r="C76" s="72"/>
      <c r="D76" s="72">
        <f>SUM(C65:C74)</f>
        <v>33650</v>
      </c>
      <c r="E76" s="70">
        <f>+E65+E70+E74</f>
        <v>10798.995138888889</v>
      </c>
      <c r="F76" s="73">
        <f>-D76+E76</f>
        <v>-22851.004861111112</v>
      </c>
      <c r="G76" s="74">
        <f>+E76/D76</f>
        <v>0.32092110368169063</v>
      </c>
      <c r="H76" s="23"/>
      <c r="I76" s="72"/>
      <c r="J76" s="77">
        <f>SUM(I63:I74)</f>
        <v>27700</v>
      </c>
      <c r="K76" s="77">
        <f>SUM(K63:K74)</f>
        <v>9646.0990000000002</v>
      </c>
      <c r="L76" s="73">
        <f>-J76+K76</f>
        <v>-18053.900999999998</v>
      </c>
      <c r="M76" s="78">
        <f>+K76/J76</f>
        <v>0.34823462093862817</v>
      </c>
    </row>
    <row r="77" spans="1:13" ht="3" customHeight="1" thickBot="1" x14ac:dyDescent="0.25">
      <c r="A77" s="4"/>
      <c r="B77" s="56"/>
      <c r="C77" s="56"/>
      <c r="D77" s="56"/>
      <c r="E77" s="26"/>
      <c r="F77" s="51"/>
      <c r="G77" s="44"/>
      <c r="H77" s="4"/>
      <c r="I77" s="56"/>
      <c r="J77" s="67"/>
      <c r="K77" s="26"/>
      <c r="L77" s="51"/>
      <c r="M77" s="36"/>
    </row>
    <row r="78" spans="1:13" ht="16.5" thickBot="1" x14ac:dyDescent="0.3">
      <c r="A78" s="20" t="s">
        <v>38</v>
      </c>
      <c r="B78" s="72"/>
      <c r="C78" s="72"/>
      <c r="D78" s="72"/>
      <c r="E78" s="70"/>
      <c r="F78" s="73"/>
      <c r="G78" s="74"/>
      <c r="H78" s="23"/>
      <c r="I78" s="72"/>
      <c r="J78" s="77"/>
      <c r="K78" s="70"/>
      <c r="L78" s="73"/>
      <c r="M78" s="76"/>
    </row>
    <row r="79" spans="1:13" x14ac:dyDescent="0.2">
      <c r="A79" s="14"/>
      <c r="B79" s="29"/>
      <c r="C79" s="29"/>
      <c r="D79" s="60"/>
      <c r="E79" s="29"/>
      <c r="F79" s="61"/>
      <c r="G79" s="48"/>
      <c r="H79" s="15"/>
      <c r="I79" s="29"/>
      <c r="J79" s="61"/>
      <c r="K79" s="29"/>
      <c r="L79" s="61"/>
      <c r="M79" s="40"/>
    </row>
    <row r="80" spans="1:13" ht="15.75" x14ac:dyDescent="0.25">
      <c r="A80" s="7" t="s">
        <v>41</v>
      </c>
      <c r="B80" s="27">
        <v>18100</v>
      </c>
      <c r="C80" s="27"/>
      <c r="D80" s="52"/>
      <c r="E80" s="34">
        <v>11315.4</v>
      </c>
      <c r="F80" s="53">
        <f t="shared" ref="F80" si="19">+E80-B80</f>
        <v>-6784.6</v>
      </c>
      <c r="G80" s="45"/>
      <c r="H80" s="8" t="s">
        <v>43</v>
      </c>
      <c r="I80" s="27">
        <v>5000</v>
      </c>
      <c r="J80" s="53"/>
      <c r="K80" s="34">
        <v>7000</v>
      </c>
      <c r="L80" s="53">
        <f t="shared" ref="L80:L85" si="20">+K80-I80</f>
        <v>2000</v>
      </c>
      <c r="M80" s="37"/>
    </row>
    <row r="81" spans="1:13" ht="15.75" x14ac:dyDescent="0.25">
      <c r="A81" s="9" t="s">
        <v>40</v>
      </c>
      <c r="B81" s="27"/>
      <c r="C81" s="27">
        <f>SUM(B80:B80)</f>
        <v>18100</v>
      </c>
      <c r="D81" s="52"/>
      <c r="E81" s="34">
        <f>SUM(E80)</f>
        <v>11315.4</v>
      </c>
      <c r="F81" s="53">
        <f>+E81-C81</f>
        <v>-6784.6</v>
      </c>
      <c r="G81" s="45">
        <f>+E81/C81</f>
        <v>0.6251602209944751</v>
      </c>
      <c r="H81" s="8" t="s">
        <v>18</v>
      </c>
      <c r="I81" s="27">
        <v>10000</v>
      </c>
      <c r="J81" s="53"/>
      <c r="K81" s="34">
        <v>3000</v>
      </c>
      <c r="L81" s="53">
        <f t="shared" si="20"/>
        <v>-7000</v>
      </c>
      <c r="M81" s="37"/>
    </row>
    <row r="82" spans="1:13" ht="15.75" x14ac:dyDescent="0.25">
      <c r="A82" s="11"/>
      <c r="B82" s="27"/>
      <c r="C82" s="27"/>
      <c r="D82" s="52"/>
      <c r="E82" s="34"/>
      <c r="F82" s="53"/>
      <c r="G82" s="45"/>
      <c r="H82" s="8" t="s">
        <v>106</v>
      </c>
      <c r="I82" s="27">
        <v>5000</v>
      </c>
      <c r="J82" s="53"/>
      <c r="K82" s="34"/>
      <c r="L82" s="53">
        <f t="shared" si="20"/>
        <v>-5000</v>
      </c>
      <c r="M82" s="37"/>
    </row>
    <row r="83" spans="1:13" ht="15.75" x14ac:dyDescent="0.25">
      <c r="A83" s="7" t="s">
        <v>7</v>
      </c>
      <c r="B83" s="27">
        <v>28000</v>
      </c>
      <c r="C83" s="27"/>
      <c r="D83" s="52"/>
      <c r="E83" s="34">
        <f>[1]Répartition!$O22</f>
        <v>16631.143005555554</v>
      </c>
      <c r="F83" s="53">
        <f t="shared" ref="F83:F84" si="21">+E83-B83</f>
        <v>-11368.856994444446</v>
      </c>
      <c r="G83" s="45"/>
      <c r="H83" s="8" t="s">
        <v>107</v>
      </c>
      <c r="I83" s="27">
        <v>11500</v>
      </c>
      <c r="J83" s="53"/>
      <c r="K83" s="34">
        <v>7711.95</v>
      </c>
      <c r="L83" s="53">
        <f t="shared" si="20"/>
        <v>-3788.05</v>
      </c>
      <c r="M83" s="37"/>
    </row>
    <row r="84" spans="1:13" ht="15.75" x14ac:dyDescent="0.25">
      <c r="A84" s="7" t="s">
        <v>8</v>
      </c>
      <c r="B84" s="27">
        <v>5000</v>
      </c>
      <c r="C84" s="27"/>
      <c r="D84" s="52"/>
      <c r="E84" s="34">
        <v>1318.2</v>
      </c>
      <c r="F84" s="53">
        <f t="shared" si="21"/>
        <v>-3681.8</v>
      </c>
      <c r="G84" s="45"/>
      <c r="H84" s="8" t="s">
        <v>79</v>
      </c>
      <c r="I84" s="27"/>
      <c r="J84" s="53"/>
      <c r="K84" s="34">
        <f>[2]Répartition!C60</f>
        <v>119.849</v>
      </c>
      <c r="L84" s="53">
        <f t="shared" si="20"/>
        <v>119.849</v>
      </c>
      <c r="M84" s="37"/>
    </row>
    <row r="85" spans="1:13" ht="15.75" x14ac:dyDescent="0.25">
      <c r="A85" s="9" t="s">
        <v>42</v>
      </c>
      <c r="B85" s="27"/>
      <c r="C85" s="27">
        <f>SUM(B83:B84)</f>
        <v>33000</v>
      </c>
      <c r="D85" s="52"/>
      <c r="E85" s="34">
        <f>SUM(E83:E84)</f>
        <v>17949.343005555555</v>
      </c>
      <c r="F85" s="53">
        <f>+E85-C85</f>
        <v>-15050.656994444445</v>
      </c>
      <c r="G85" s="45">
        <f>+E85/C85</f>
        <v>0.54391948501683496</v>
      </c>
      <c r="H85" s="8" t="s">
        <v>144</v>
      </c>
      <c r="I85" s="27"/>
      <c r="J85" s="53"/>
      <c r="K85" s="34">
        <v>211.12</v>
      </c>
      <c r="L85" s="53">
        <f t="shared" si="20"/>
        <v>211.12</v>
      </c>
      <c r="M85" s="37"/>
    </row>
    <row r="86" spans="1:13" ht="21.75" customHeight="1" thickBot="1" x14ac:dyDescent="0.25">
      <c r="A86" s="12"/>
      <c r="B86" s="28"/>
      <c r="C86" s="28"/>
      <c r="D86" s="54"/>
      <c r="E86" s="28"/>
      <c r="F86" s="55"/>
      <c r="G86" s="46"/>
      <c r="H86" s="13"/>
      <c r="I86" s="28"/>
      <c r="J86" s="55"/>
      <c r="K86" s="28"/>
      <c r="L86" s="55"/>
      <c r="M86" s="38"/>
    </row>
    <row r="87" spans="1:13" ht="16.5" thickBot="1" x14ac:dyDescent="0.3">
      <c r="A87" s="20" t="s">
        <v>39</v>
      </c>
      <c r="B87" s="72"/>
      <c r="C87" s="72"/>
      <c r="D87" s="72">
        <f>SUM(C81:C85)</f>
        <v>51100</v>
      </c>
      <c r="E87" s="70">
        <f>+E81+E85</f>
        <v>29264.743005555552</v>
      </c>
      <c r="F87" s="73">
        <f>-D87+E87</f>
        <v>-21835.256994444448</v>
      </c>
      <c r="G87" s="74">
        <f>+E87/D87</f>
        <v>0.57269555783866055</v>
      </c>
      <c r="H87" s="23"/>
      <c r="I87" s="72"/>
      <c r="J87" s="77">
        <f>SUM(I80:I85)</f>
        <v>31500</v>
      </c>
      <c r="K87" s="77">
        <f>SUM(K80:K85)</f>
        <v>18042.918999999998</v>
      </c>
      <c r="L87" s="73">
        <f>-J87+K87</f>
        <v>-13457.081000000002</v>
      </c>
      <c r="M87" s="78">
        <f>+K87/J87</f>
        <v>0.57279107936507934</v>
      </c>
    </row>
    <row r="88" spans="1:13" ht="6.75" customHeight="1" thickBot="1" x14ac:dyDescent="0.25">
      <c r="A88" s="4"/>
      <c r="B88" s="56"/>
      <c r="C88" s="56"/>
      <c r="D88" s="56"/>
      <c r="E88" s="26"/>
      <c r="F88" s="51"/>
      <c r="G88" s="44"/>
      <c r="H88" s="4"/>
      <c r="I88" s="56"/>
      <c r="J88" s="67"/>
      <c r="K88" s="26"/>
      <c r="L88" s="51"/>
      <c r="M88" s="36"/>
    </row>
    <row r="89" spans="1:13" ht="16.5" thickBot="1" x14ac:dyDescent="0.3">
      <c r="A89" s="20" t="s">
        <v>45</v>
      </c>
      <c r="B89" s="72"/>
      <c r="C89" s="72"/>
      <c r="D89" s="72"/>
      <c r="E89" s="70"/>
      <c r="F89" s="73"/>
      <c r="G89" s="74"/>
      <c r="H89" s="23"/>
      <c r="I89" s="72"/>
      <c r="J89" s="77"/>
      <c r="K89" s="70"/>
      <c r="L89" s="73"/>
      <c r="M89" s="76"/>
    </row>
    <row r="90" spans="1:13" x14ac:dyDescent="0.2">
      <c r="A90" s="14"/>
      <c r="B90" s="29"/>
      <c r="C90" s="29"/>
      <c r="D90" s="60"/>
      <c r="E90" s="29"/>
      <c r="F90" s="61"/>
      <c r="G90" s="48"/>
      <c r="H90" s="15"/>
      <c r="I90" s="29"/>
      <c r="J90" s="61"/>
      <c r="K90" s="29"/>
      <c r="L90" s="61"/>
      <c r="M90" s="40"/>
    </row>
    <row r="91" spans="1:13" ht="15.75" x14ac:dyDescent="0.25">
      <c r="A91" s="7" t="s">
        <v>49</v>
      </c>
      <c r="B91" s="27">
        <v>4500</v>
      </c>
      <c r="C91" s="27"/>
      <c r="D91" s="52"/>
      <c r="E91" s="34">
        <v>1936.37</v>
      </c>
      <c r="F91" s="88">
        <f t="shared" ref="F91" si="22">+E91-B91</f>
        <v>-2563.63</v>
      </c>
      <c r="G91" s="89"/>
      <c r="H91" s="90" t="s">
        <v>54</v>
      </c>
      <c r="I91" s="34">
        <v>5500</v>
      </c>
      <c r="J91" s="88"/>
      <c r="K91" s="34">
        <f>5500+375</f>
        <v>5875</v>
      </c>
      <c r="L91" s="53">
        <f t="shared" ref="L91" si="23">+K91-I91</f>
        <v>375</v>
      </c>
      <c r="M91" s="37"/>
    </row>
    <row r="92" spans="1:13" ht="15.75" x14ac:dyDescent="0.25">
      <c r="A92" s="9" t="s">
        <v>46</v>
      </c>
      <c r="B92" s="27"/>
      <c r="C92" s="27">
        <f>SUM(B91:B91)</f>
        <v>4500</v>
      </c>
      <c r="D92" s="52"/>
      <c r="E92" s="34">
        <f>SUM(E91)</f>
        <v>1936.37</v>
      </c>
      <c r="F92" s="88">
        <f>+E92-C92</f>
        <v>-2563.63</v>
      </c>
      <c r="G92" s="89">
        <f>+E92/C92</f>
        <v>0.43030444444444443</v>
      </c>
      <c r="H92" s="90"/>
      <c r="I92" s="34"/>
      <c r="J92" s="88"/>
      <c r="K92" s="34"/>
      <c r="L92" s="53"/>
      <c r="M92" s="37"/>
    </row>
    <row r="93" spans="1:13" x14ac:dyDescent="0.2">
      <c r="A93" s="11"/>
      <c r="B93" s="27"/>
      <c r="C93" s="27"/>
      <c r="D93" s="52"/>
      <c r="E93" s="34"/>
      <c r="F93" s="88"/>
      <c r="G93" s="89"/>
      <c r="H93" s="91"/>
      <c r="I93" s="34"/>
      <c r="J93" s="88"/>
      <c r="K93" s="34"/>
      <c r="L93" s="53"/>
      <c r="M93" s="37"/>
    </row>
    <row r="94" spans="1:13" ht="15.75" x14ac:dyDescent="0.25">
      <c r="A94" s="7" t="s">
        <v>47</v>
      </c>
      <c r="B94" s="27">
        <v>4500</v>
      </c>
      <c r="C94" s="27"/>
      <c r="D94" s="52"/>
      <c r="E94" s="34">
        <v>2800.96</v>
      </c>
      <c r="F94" s="88">
        <f t="shared" ref="F94" si="24">+E94-B94</f>
        <v>-1699.04</v>
      </c>
      <c r="G94" s="89"/>
      <c r="H94" s="90" t="s">
        <v>133</v>
      </c>
      <c r="I94" s="34">
        <v>7500</v>
      </c>
      <c r="J94" s="88"/>
      <c r="K94" s="34">
        <f>8000+300</f>
        <v>8300</v>
      </c>
      <c r="L94" s="53">
        <f t="shared" ref="L94" si="25">+K94-I94</f>
        <v>800</v>
      </c>
      <c r="M94" s="37"/>
    </row>
    <row r="95" spans="1:13" ht="15.75" x14ac:dyDescent="0.25">
      <c r="A95" s="9" t="s">
        <v>48</v>
      </c>
      <c r="B95" s="27"/>
      <c r="C95" s="27">
        <f>SUM(B94:B94)</f>
        <v>4500</v>
      </c>
      <c r="D95" s="52"/>
      <c r="E95" s="34">
        <f>SUM(E94)</f>
        <v>2800.96</v>
      </c>
      <c r="F95" s="88">
        <f>+E95-C95</f>
        <v>-1699.04</v>
      </c>
      <c r="G95" s="89">
        <f>+E95/C95</f>
        <v>0.62243555555555552</v>
      </c>
      <c r="H95" s="90" t="s">
        <v>104</v>
      </c>
      <c r="I95" s="34"/>
      <c r="J95" s="88"/>
      <c r="K95" s="34">
        <v>3000</v>
      </c>
      <c r="L95" s="53"/>
      <c r="M95" s="37"/>
    </row>
    <row r="96" spans="1:13" x14ac:dyDescent="0.2">
      <c r="A96" s="11"/>
      <c r="B96" s="27"/>
      <c r="C96" s="27"/>
      <c r="D96" s="52"/>
      <c r="E96" s="34"/>
      <c r="F96" s="88"/>
      <c r="G96" s="89"/>
      <c r="H96" s="91"/>
      <c r="I96" s="34"/>
      <c r="J96" s="88"/>
      <c r="K96" s="34"/>
      <c r="L96" s="53"/>
      <c r="M96" s="37"/>
    </row>
    <row r="97" spans="1:13" ht="15.75" x14ac:dyDescent="0.25">
      <c r="A97" s="7" t="s">
        <v>50</v>
      </c>
      <c r="B97" s="27">
        <v>30000</v>
      </c>
      <c r="C97" s="27"/>
      <c r="D97" s="52"/>
      <c r="E97" s="34">
        <v>36225.760000000002</v>
      </c>
      <c r="F97" s="88">
        <f t="shared" ref="F97" si="26">+E97-B97</f>
        <v>6225.760000000002</v>
      </c>
      <c r="G97" s="89"/>
      <c r="H97" s="90" t="s">
        <v>54</v>
      </c>
      <c r="I97" s="34">
        <v>14000</v>
      </c>
      <c r="J97" s="88"/>
      <c r="K97" s="34">
        <f>4000+1750</f>
        <v>5750</v>
      </c>
      <c r="L97" s="53">
        <f t="shared" ref="L97:L98" si="27">+K97-I97</f>
        <v>-8250</v>
      </c>
      <c r="M97" s="37"/>
    </row>
    <row r="98" spans="1:13" ht="15.75" x14ac:dyDescent="0.25">
      <c r="A98" s="9" t="s">
        <v>51</v>
      </c>
      <c r="B98" s="27"/>
      <c r="C98" s="27">
        <f>SUM(B97:B97)</f>
        <v>30000</v>
      </c>
      <c r="D98" s="52"/>
      <c r="E98" s="34">
        <f>SUM(E97)</f>
        <v>36225.760000000002</v>
      </c>
      <c r="F98" s="88">
        <f>+E98-C98</f>
        <v>6225.760000000002</v>
      </c>
      <c r="G98" s="89">
        <f>+E98/C98</f>
        <v>1.2075253333333333</v>
      </c>
      <c r="H98" s="90" t="s">
        <v>103</v>
      </c>
      <c r="I98" s="34">
        <v>30000</v>
      </c>
      <c r="J98" s="88"/>
      <c r="K98" s="34">
        <v>41888.6</v>
      </c>
      <c r="L98" s="53">
        <f t="shared" si="27"/>
        <v>11888.599999999999</v>
      </c>
      <c r="M98" s="37"/>
    </row>
    <row r="99" spans="1:13" x14ac:dyDescent="0.2">
      <c r="A99" s="11"/>
      <c r="B99" s="27"/>
      <c r="C99" s="27"/>
      <c r="D99" s="52"/>
      <c r="E99" s="34"/>
      <c r="F99" s="88"/>
      <c r="G99" s="89"/>
      <c r="H99" s="91"/>
      <c r="I99" s="34"/>
      <c r="J99" s="88"/>
      <c r="K99" s="34"/>
      <c r="L99" s="53"/>
      <c r="M99" s="37"/>
    </row>
    <row r="100" spans="1:13" ht="15.75" x14ac:dyDescent="0.25">
      <c r="A100" s="7" t="s">
        <v>52</v>
      </c>
      <c r="B100" s="27">
        <v>10000</v>
      </c>
      <c r="C100" s="27"/>
      <c r="D100" s="52"/>
      <c r="E100" s="34">
        <v>11162.02</v>
      </c>
      <c r="F100" s="88">
        <f t="shared" ref="F100" si="28">+E100-B100</f>
        <v>1162.0200000000004</v>
      </c>
      <c r="G100" s="89"/>
      <c r="H100" s="90" t="s">
        <v>55</v>
      </c>
      <c r="I100" s="34">
        <v>10000</v>
      </c>
      <c r="J100" s="88"/>
      <c r="K100" s="34">
        <v>6939.89</v>
      </c>
      <c r="L100" s="53">
        <f t="shared" ref="L100" si="29">+K100-I100</f>
        <v>-3060.1099999999997</v>
      </c>
      <c r="M100" s="37"/>
    </row>
    <row r="101" spans="1:13" ht="15.75" x14ac:dyDescent="0.25">
      <c r="A101" s="9" t="s">
        <v>53</v>
      </c>
      <c r="B101" s="27"/>
      <c r="C101" s="27">
        <f>SUM(B100:B100)</f>
        <v>10000</v>
      </c>
      <c r="D101" s="52"/>
      <c r="E101" s="34">
        <f>SUM(E100)</f>
        <v>11162.02</v>
      </c>
      <c r="F101" s="88">
        <f>+E101-C101</f>
        <v>1162.0200000000004</v>
      </c>
      <c r="G101" s="89">
        <f>+E101/C101</f>
        <v>1.1162020000000001</v>
      </c>
      <c r="H101" s="91"/>
      <c r="I101" s="34"/>
      <c r="J101" s="88"/>
      <c r="K101" s="34"/>
      <c r="L101" s="53"/>
      <c r="M101" s="37"/>
    </row>
    <row r="102" spans="1:13" x14ac:dyDescent="0.2">
      <c r="A102" s="11"/>
      <c r="B102" s="27"/>
      <c r="C102" s="27"/>
      <c r="D102" s="52"/>
      <c r="E102" s="34"/>
      <c r="F102" s="88"/>
      <c r="G102" s="89"/>
      <c r="H102" s="91"/>
      <c r="I102" s="34"/>
      <c r="J102" s="88"/>
      <c r="K102" s="34"/>
      <c r="L102" s="53"/>
      <c r="M102" s="37"/>
    </row>
    <row r="103" spans="1:13" ht="15.75" x14ac:dyDescent="0.25">
      <c r="A103" s="7" t="s">
        <v>7</v>
      </c>
      <c r="B103" s="27">
        <v>22500</v>
      </c>
      <c r="C103" s="27"/>
      <c r="D103" s="52"/>
      <c r="E103" s="34">
        <f>[1]Répartition!$O24</f>
        <v>22140.486516666668</v>
      </c>
      <c r="F103" s="88">
        <f t="shared" ref="F103:F104" si="30">+E103-B103</f>
        <v>-359.51348333333226</v>
      </c>
      <c r="G103" s="89"/>
      <c r="H103" s="90" t="s">
        <v>79</v>
      </c>
      <c r="I103" s="34"/>
      <c r="J103" s="88"/>
      <c r="K103" s="34">
        <f>[2]Répartition!C62</f>
        <v>119.849</v>
      </c>
      <c r="L103" s="53">
        <f t="shared" ref="L103" si="31">+K103-I103</f>
        <v>119.849</v>
      </c>
      <c r="M103" s="37"/>
    </row>
    <row r="104" spans="1:13" ht="15.75" x14ac:dyDescent="0.25">
      <c r="A104" s="7" t="s">
        <v>8</v>
      </c>
      <c r="B104" s="27">
        <v>11500</v>
      </c>
      <c r="C104" s="27"/>
      <c r="D104" s="52"/>
      <c r="E104" s="34">
        <f>226.48+2760</f>
        <v>2986.48</v>
      </c>
      <c r="F104" s="88">
        <f t="shared" si="30"/>
        <v>-8513.52</v>
      </c>
      <c r="G104" s="89"/>
      <c r="H104" s="91"/>
      <c r="I104" s="34"/>
      <c r="J104" s="88"/>
      <c r="K104" s="34"/>
      <c r="L104" s="53"/>
      <c r="M104" s="37"/>
    </row>
    <row r="105" spans="1:13" ht="15.75" x14ac:dyDescent="0.25">
      <c r="A105" s="9" t="s">
        <v>56</v>
      </c>
      <c r="B105" s="27"/>
      <c r="C105" s="27">
        <f>SUM(B103:B104)</f>
        <v>34000</v>
      </c>
      <c r="D105" s="52"/>
      <c r="E105" s="34">
        <f>SUM(E103:E104)</f>
        <v>25126.966516666667</v>
      </c>
      <c r="F105" s="53">
        <f>+E105-C105</f>
        <v>-8873.0334833333327</v>
      </c>
      <c r="G105" s="45">
        <f>+E105/C105</f>
        <v>0.7390284269607843</v>
      </c>
      <c r="H105" s="10"/>
      <c r="I105" s="27"/>
      <c r="J105" s="53"/>
      <c r="K105" s="27"/>
      <c r="L105" s="53"/>
      <c r="M105" s="37"/>
    </row>
    <row r="106" spans="1:13" ht="13.5" thickBot="1" x14ac:dyDescent="0.25">
      <c r="A106" s="12"/>
      <c r="B106" s="28"/>
      <c r="C106" s="28"/>
      <c r="D106" s="54"/>
      <c r="E106" s="28"/>
      <c r="F106" s="55"/>
      <c r="G106" s="46"/>
      <c r="H106" s="13"/>
      <c r="I106" s="28"/>
      <c r="J106" s="55"/>
      <c r="K106" s="28"/>
      <c r="L106" s="55"/>
      <c r="M106" s="38"/>
    </row>
    <row r="107" spans="1:13" ht="16.5" thickBot="1" x14ac:dyDescent="0.3">
      <c r="A107" s="20" t="s">
        <v>57</v>
      </c>
      <c r="B107" s="72"/>
      <c r="C107" s="72"/>
      <c r="D107" s="72">
        <f>SUM(C92:C105)</f>
        <v>83000</v>
      </c>
      <c r="E107" s="70">
        <f>+E92+E95+E98+E101+E105</f>
        <v>77252.076516666668</v>
      </c>
      <c r="F107" s="73">
        <f>-D107+E107</f>
        <v>-5747.9234833333321</v>
      </c>
      <c r="G107" s="74">
        <f>+E107/D107</f>
        <v>0.9307479098393574</v>
      </c>
      <c r="H107" s="23"/>
      <c r="I107" s="72"/>
      <c r="J107" s="77">
        <f>SUM(I91:I105)</f>
        <v>67000</v>
      </c>
      <c r="K107" s="77">
        <f>SUM(K91:K105)</f>
        <v>71873.339000000007</v>
      </c>
      <c r="L107" s="73">
        <f>-J107+K107</f>
        <v>4873.3390000000072</v>
      </c>
      <c r="M107" s="78">
        <f>+K107/J107</f>
        <v>1.0727364029850748</v>
      </c>
    </row>
    <row r="108" spans="1:13" ht="6" customHeight="1" thickBot="1" x14ac:dyDescent="0.25">
      <c r="A108" s="4"/>
      <c r="B108" s="56"/>
      <c r="C108" s="56"/>
      <c r="D108" s="56"/>
      <c r="E108" s="26"/>
      <c r="F108" s="51"/>
      <c r="G108" s="44"/>
      <c r="H108" s="4"/>
      <c r="I108" s="56"/>
      <c r="J108" s="67"/>
      <c r="K108" s="26"/>
      <c r="L108" s="51"/>
      <c r="M108" s="36"/>
    </row>
    <row r="109" spans="1:13" ht="16.5" thickBot="1" x14ac:dyDescent="0.3">
      <c r="A109" s="20" t="s">
        <v>60</v>
      </c>
      <c r="B109" s="72"/>
      <c r="C109" s="72"/>
      <c r="D109" s="72"/>
      <c r="E109" s="70"/>
      <c r="F109" s="73"/>
      <c r="G109" s="74"/>
      <c r="H109" s="23"/>
      <c r="I109" s="72"/>
      <c r="J109" s="77"/>
      <c r="K109" s="70"/>
      <c r="L109" s="73"/>
      <c r="M109" s="76"/>
    </row>
    <row r="110" spans="1:13" x14ac:dyDescent="0.2">
      <c r="A110" s="14"/>
      <c r="B110" s="29"/>
      <c r="C110" s="29"/>
      <c r="D110" s="60"/>
      <c r="E110" s="29"/>
      <c r="F110" s="61"/>
      <c r="G110" s="48"/>
      <c r="H110" s="15"/>
      <c r="I110" s="29"/>
      <c r="J110" s="61"/>
      <c r="K110" s="29"/>
      <c r="L110" s="61"/>
      <c r="M110" s="40"/>
    </row>
    <row r="111" spans="1:13" ht="15.75" x14ac:dyDescent="0.25">
      <c r="A111" s="7" t="s">
        <v>58</v>
      </c>
      <c r="B111" s="27"/>
      <c r="C111" s="27"/>
      <c r="D111" s="52"/>
      <c r="E111" s="34">
        <v>8435.2199999999993</v>
      </c>
      <c r="F111" s="88">
        <f t="shared" ref="F111:F112" si="32">+E111-B111</f>
        <v>8435.2199999999993</v>
      </c>
      <c r="G111" s="89"/>
      <c r="H111" s="92" t="s">
        <v>132</v>
      </c>
      <c r="I111" s="34"/>
      <c r="J111" s="88"/>
      <c r="K111" s="34">
        <v>4533.32</v>
      </c>
      <c r="L111" s="53"/>
      <c r="M111" s="37"/>
    </row>
    <row r="112" spans="1:13" ht="15.75" x14ac:dyDescent="0.25">
      <c r="A112" s="7" t="s">
        <v>59</v>
      </c>
      <c r="B112" s="27"/>
      <c r="C112" s="27"/>
      <c r="D112" s="52"/>
      <c r="E112" s="34">
        <v>1041.6400000000001</v>
      </c>
      <c r="F112" s="88">
        <f t="shared" si="32"/>
        <v>1041.6400000000001</v>
      </c>
      <c r="G112" s="89"/>
      <c r="H112" s="90"/>
      <c r="I112" s="34"/>
      <c r="J112" s="88"/>
      <c r="K112" s="34"/>
      <c r="L112" s="53"/>
      <c r="M112" s="37"/>
    </row>
    <row r="113" spans="1:14" ht="15.75" x14ac:dyDescent="0.25">
      <c r="A113" s="7" t="s">
        <v>137</v>
      </c>
      <c r="B113" s="27">
        <v>49000</v>
      </c>
      <c r="C113" s="27"/>
      <c r="D113" s="52"/>
      <c r="E113" s="34"/>
      <c r="F113" s="88"/>
      <c r="G113" s="89"/>
      <c r="H113" s="90" t="s">
        <v>68</v>
      </c>
      <c r="I113" s="34">
        <v>49000</v>
      </c>
      <c r="J113" s="88"/>
      <c r="K113" s="34"/>
      <c r="L113" s="53"/>
      <c r="M113" s="37"/>
    </row>
    <row r="114" spans="1:14" ht="15.75" x14ac:dyDescent="0.25">
      <c r="A114" s="9" t="s">
        <v>62</v>
      </c>
      <c r="B114" s="27"/>
      <c r="C114" s="27">
        <f>SUM(B111:B113)</f>
        <v>49000</v>
      </c>
      <c r="D114" s="52"/>
      <c r="E114" s="34">
        <f>SUM(E111:E113)</f>
        <v>9476.8599999999988</v>
      </c>
      <c r="F114" s="88">
        <f>+E114-C114</f>
        <v>-39523.14</v>
      </c>
      <c r="G114" s="89">
        <f>+E114/C114</f>
        <v>0.19340530612244897</v>
      </c>
      <c r="H114" s="91" t="s">
        <v>104</v>
      </c>
      <c r="I114" s="34"/>
      <c r="J114" s="88"/>
      <c r="K114" s="34">
        <v>1100</v>
      </c>
      <c r="L114" s="53">
        <f t="shared" ref="L114:L117" si="33">+K114-I114</f>
        <v>1100</v>
      </c>
      <c r="M114" s="37"/>
    </row>
    <row r="115" spans="1:14" ht="15.75" x14ac:dyDescent="0.25">
      <c r="A115" s="11"/>
      <c r="B115" s="27"/>
      <c r="C115" s="27"/>
      <c r="D115" s="52"/>
      <c r="E115" s="34"/>
      <c r="F115" s="88"/>
      <c r="G115" s="89"/>
      <c r="H115" s="90" t="s">
        <v>65</v>
      </c>
      <c r="I115" s="34">
        <v>22000</v>
      </c>
      <c r="J115" s="88"/>
      <c r="K115" s="34">
        <v>22600</v>
      </c>
      <c r="L115" s="53">
        <f t="shared" si="33"/>
        <v>600</v>
      </c>
      <c r="M115" s="37"/>
      <c r="N115" s="30"/>
    </row>
    <row r="116" spans="1:14" ht="15.75" x14ac:dyDescent="0.25">
      <c r="A116" s="7" t="s">
        <v>82</v>
      </c>
      <c r="B116" s="27">
        <v>500</v>
      </c>
      <c r="C116" s="27"/>
      <c r="D116" s="52"/>
      <c r="E116" s="34">
        <v>165</v>
      </c>
      <c r="F116" s="88">
        <f t="shared" ref="F116:F120" si="34">+E116-B116</f>
        <v>-335</v>
      </c>
      <c r="G116" s="89"/>
      <c r="H116" s="90" t="s">
        <v>66</v>
      </c>
      <c r="I116" s="34">
        <v>388000</v>
      </c>
      <c r="J116" s="88"/>
      <c r="K116" s="34">
        <v>383379.33</v>
      </c>
      <c r="L116" s="53">
        <f t="shared" si="33"/>
        <v>-4620.6699999999837</v>
      </c>
      <c r="M116" s="37"/>
      <c r="N116" s="30"/>
    </row>
    <row r="117" spans="1:14" ht="15.75" x14ac:dyDescent="0.25">
      <c r="A117" s="9" t="s">
        <v>63</v>
      </c>
      <c r="B117" s="27"/>
      <c r="C117" s="27">
        <f>SUM(B116:B116)</f>
        <v>500</v>
      </c>
      <c r="D117" s="52"/>
      <c r="E117" s="34">
        <f>SUM(E116)</f>
        <v>165</v>
      </c>
      <c r="F117" s="88">
        <f>+E117-C117</f>
        <v>-335</v>
      </c>
      <c r="G117" s="89">
        <f>+E117/C117</f>
        <v>0.33</v>
      </c>
      <c r="H117" s="90" t="s">
        <v>67</v>
      </c>
      <c r="I117" s="34">
        <v>15000</v>
      </c>
      <c r="J117" s="88"/>
      <c r="K117" s="34">
        <v>23846.67</v>
      </c>
      <c r="L117" s="53">
        <f t="shared" si="33"/>
        <v>8846.6699999999983</v>
      </c>
      <c r="M117" s="37"/>
      <c r="N117" s="30"/>
    </row>
    <row r="118" spans="1:14" x14ac:dyDescent="0.2">
      <c r="A118" s="11"/>
      <c r="B118" s="27"/>
      <c r="C118" s="27"/>
      <c r="D118" s="52">
        <v>257802.33</v>
      </c>
      <c r="E118" s="34"/>
      <c r="F118" s="88"/>
      <c r="G118" s="89"/>
      <c r="H118" s="91" t="s">
        <v>142</v>
      </c>
      <c r="I118" s="34"/>
      <c r="J118" s="88"/>
      <c r="K118" s="34">
        <v>42.83</v>
      </c>
      <c r="L118" s="53"/>
      <c r="M118" s="37"/>
    </row>
    <row r="119" spans="1:14" ht="15.75" x14ac:dyDescent="0.25">
      <c r="A119" s="7" t="s">
        <v>7</v>
      </c>
      <c r="B119" s="27">
        <v>32000</v>
      </c>
      <c r="C119" s="27"/>
      <c r="D119" s="52"/>
      <c r="E119" s="34">
        <f>[1]Répartition!$O26</f>
        <v>4929.3798333333343</v>
      </c>
      <c r="F119" s="88">
        <f t="shared" si="34"/>
        <v>-27070.620166666668</v>
      </c>
      <c r="G119" s="89"/>
      <c r="H119" s="90" t="s">
        <v>79</v>
      </c>
      <c r="I119" s="34">
        <v>2000</v>
      </c>
      <c r="J119" s="88"/>
      <c r="K119" s="34">
        <f>[2]Répartition!C64</f>
        <v>479.39600000000002</v>
      </c>
      <c r="L119" s="53">
        <f t="shared" ref="L119" si="35">+K119-I119</f>
        <v>-1520.604</v>
      </c>
      <c r="M119" s="37"/>
    </row>
    <row r="120" spans="1:14" ht="15.75" x14ac:dyDescent="0.25">
      <c r="A120" s="7" t="s">
        <v>8</v>
      </c>
      <c r="B120" s="27"/>
      <c r="C120" s="27"/>
      <c r="D120" s="52"/>
      <c r="E120" s="34">
        <v>35</v>
      </c>
      <c r="F120" s="88">
        <f t="shared" si="34"/>
        <v>35</v>
      </c>
      <c r="G120" s="89"/>
      <c r="H120" s="91"/>
      <c r="I120" s="34"/>
      <c r="J120" s="88"/>
      <c r="K120" s="34"/>
      <c r="L120" s="53"/>
      <c r="M120" s="37"/>
    </row>
    <row r="121" spans="1:14" ht="15.75" x14ac:dyDescent="0.25">
      <c r="A121" s="9" t="s">
        <v>64</v>
      </c>
      <c r="B121" s="27"/>
      <c r="C121" s="27">
        <f>SUM(B119:B120)</f>
        <v>32000</v>
      </c>
      <c r="D121" s="52"/>
      <c r="E121" s="34">
        <f>SUM(E119:E120)</f>
        <v>4964.3798333333343</v>
      </c>
      <c r="F121" s="53">
        <f>+E121-C121</f>
        <v>-27035.620166666668</v>
      </c>
      <c r="G121" s="45">
        <f>+E121/C121</f>
        <v>0.15513686979166669</v>
      </c>
      <c r="H121" s="10"/>
      <c r="I121" s="27"/>
      <c r="J121" s="53"/>
      <c r="K121" s="27"/>
      <c r="L121" s="53"/>
      <c r="M121" s="37"/>
    </row>
    <row r="122" spans="1:14" ht="13.5" thickBot="1" x14ac:dyDescent="0.25">
      <c r="A122" s="12"/>
      <c r="B122" s="28"/>
      <c r="C122" s="28"/>
      <c r="D122" s="54"/>
      <c r="E122" s="28"/>
      <c r="F122" s="55"/>
      <c r="G122" s="46"/>
      <c r="H122" s="13"/>
      <c r="I122" s="28"/>
      <c r="J122" s="55"/>
      <c r="K122" s="28"/>
      <c r="L122" s="55"/>
      <c r="M122" s="38"/>
    </row>
    <row r="123" spans="1:14" ht="16.5" thickBot="1" x14ac:dyDescent="0.3">
      <c r="A123" s="20" t="s">
        <v>61</v>
      </c>
      <c r="B123" s="72"/>
      <c r="C123" s="72"/>
      <c r="D123" s="72">
        <f>SUM(C114:C121)</f>
        <v>81500</v>
      </c>
      <c r="E123" s="70">
        <f>+E114+E117+E121</f>
        <v>14606.239833333333</v>
      </c>
      <c r="F123" s="73">
        <f>-D123+E123</f>
        <v>-66893.760166666674</v>
      </c>
      <c r="G123" s="74">
        <f>+E123/D123</f>
        <v>0.17921766666666666</v>
      </c>
      <c r="H123" s="23"/>
      <c r="I123" s="72"/>
      <c r="J123" s="77">
        <f>SUM(I111:I121)</f>
        <v>476000</v>
      </c>
      <c r="K123" s="77">
        <f>SUM(K111:K121)</f>
        <v>435981.54600000003</v>
      </c>
      <c r="L123" s="73">
        <f>-J123+K123</f>
        <v>-40018.453999999969</v>
      </c>
      <c r="M123" s="78">
        <f>+K123/J123</f>
        <v>0.91592761764705888</v>
      </c>
    </row>
    <row r="124" spans="1:14" ht="6" customHeight="1" thickBot="1" x14ac:dyDescent="0.25">
      <c r="A124" s="4"/>
      <c r="B124" s="56"/>
      <c r="C124" s="56"/>
      <c r="D124" s="56"/>
      <c r="E124" s="26"/>
      <c r="F124" s="51"/>
      <c r="G124" s="44"/>
      <c r="H124" s="4"/>
      <c r="I124" s="56"/>
      <c r="J124" s="67"/>
      <c r="K124" s="26"/>
      <c r="L124" s="51"/>
      <c r="M124" s="36"/>
    </row>
    <row r="125" spans="1:14" ht="16.5" thickBot="1" x14ac:dyDescent="0.3">
      <c r="A125" s="20" t="s">
        <v>69</v>
      </c>
      <c r="B125" s="72"/>
      <c r="C125" s="72"/>
      <c r="D125" s="72"/>
      <c r="E125" s="70"/>
      <c r="F125" s="73"/>
      <c r="G125" s="74"/>
      <c r="H125" s="23"/>
      <c r="I125" s="72"/>
      <c r="J125" s="77"/>
      <c r="K125" s="70"/>
      <c r="L125" s="73"/>
      <c r="M125" s="76"/>
    </row>
    <row r="126" spans="1:14" x14ac:dyDescent="0.2">
      <c r="A126" s="14"/>
      <c r="B126" s="29"/>
      <c r="C126" s="29"/>
      <c r="D126" s="60"/>
      <c r="E126" s="29"/>
      <c r="F126" s="61"/>
      <c r="G126" s="48"/>
      <c r="H126" s="15"/>
      <c r="I126" s="29"/>
      <c r="J126" s="61"/>
      <c r="K126" s="29"/>
      <c r="L126" s="61"/>
      <c r="M126" s="40"/>
    </row>
    <row r="127" spans="1:14" ht="15.75" x14ac:dyDescent="0.25">
      <c r="A127" s="7" t="s">
        <v>71</v>
      </c>
      <c r="B127" s="27">
        <v>11000</v>
      </c>
      <c r="C127" s="27"/>
      <c r="D127" s="52"/>
      <c r="E127" s="34">
        <f>9244.28+4565.14</f>
        <v>13809.420000000002</v>
      </c>
      <c r="F127" s="88"/>
      <c r="G127" s="89"/>
      <c r="H127" s="90" t="s">
        <v>72</v>
      </c>
      <c r="I127" s="34"/>
      <c r="J127" s="88"/>
      <c r="K127" s="34">
        <v>943</v>
      </c>
      <c r="L127" s="53">
        <f t="shared" ref="L127:L130" si="36">+K127-I127</f>
        <v>943</v>
      </c>
      <c r="M127" s="37"/>
    </row>
    <row r="128" spans="1:14" ht="15.75" x14ac:dyDescent="0.25">
      <c r="A128" s="7" t="s">
        <v>75</v>
      </c>
      <c r="B128" s="27">
        <v>10000</v>
      </c>
      <c r="C128" s="27"/>
      <c r="D128" s="52"/>
      <c r="E128" s="34">
        <v>5578.58</v>
      </c>
      <c r="F128" s="88"/>
      <c r="G128" s="89"/>
      <c r="H128" s="90" t="s">
        <v>108</v>
      </c>
      <c r="I128" s="34">
        <v>5000</v>
      </c>
      <c r="J128" s="88"/>
      <c r="K128" s="34">
        <v>3374</v>
      </c>
      <c r="L128" s="53">
        <f t="shared" si="36"/>
        <v>-1626</v>
      </c>
      <c r="M128" s="37"/>
    </row>
    <row r="129" spans="1:13" ht="15.75" x14ac:dyDescent="0.25">
      <c r="A129" s="7" t="s">
        <v>73</v>
      </c>
      <c r="B129" s="27">
        <v>5000</v>
      </c>
      <c r="C129" s="27"/>
      <c r="D129" s="52"/>
      <c r="E129" s="34">
        <v>1669.34</v>
      </c>
      <c r="F129" s="88"/>
      <c r="G129" s="89"/>
      <c r="H129" s="90" t="s">
        <v>104</v>
      </c>
      <c r="I129" s="34">
        <v>1200</v>
      </c>
      <c r="J129" s="88"/>
      <c r="K129" s="34"/>
      <c r="L129" s="53">
        <f t="shared" si="36"/>
        <v>-1200</v>
      </c>
      <c r="M129" s="37"/>
    </row>
    <row r="130" spans="1:13" ht="15.75" x14ac:dyDescent="0.25">
      <c r="A130" s="7" t="s">
        <v>74</v>
      </c>
      <c r="B130" s="27">
        <v>26100</v>
      </c>
      <c r="C130" s="27"/>
      <c r="D130" s="52"/>
      <c r="E130" s="34">
        <v>41512.370000000003</v>
      </c>
      <c r="F130" s="88"/>
      <c r="G130" s="89"/>
      <c r="H130" s="90" t="s">
        <v>18</v>
      </c>
      <c r="I130" s="34"/>
      <c r="J130" s="88"/>
      <c r="K130" s="34">
        <f>4000+333+3000</f>
        <v>7333</v>
      </c>
      <c r="L130" s="53">
        <f t="shared" si="36"/>
        <v>7333</v>
      </c>
      <c r="M130" s="37"/>
    </row>
    <row r="131" spans="1:13" ht="15.75" x14ac:dyDescent="0.25">
      <c r="A131" s="7"/>
      <c r="B131" s="27"/>
      <c r="C131" s="27"/>
      <c r="D131" s="52"/>
      <c r="E131" s="34"/>
      <c r="F131" s="88"/>
      <c r="G131" s="89"/>
      <c r="H131" s="90"/>
      <c r="I131" s="34"/>
      <c r="J131" s="88"/>
      <c r="K131" s="34"/>
      <c r="L131" s="53"/>
      <c r="M131" s="37"/>
    </row>
    <row r="132" spans="1:13" ht="15.75" x14ac:dyDescent="0.25">
      <c r="A132" s="9" t="s">
        <v>76</v>
      </c>
      <c r="B132" s="27"/>
      <c r="C132" s="27">
        <f>SUM(B127:B131)</f>
        <v>52100</v>
      </c>
      <c r="D132" s="52"/>
      <c r="E132" s="34">
        <f>SUM(E127:E131)</f>
        <v>62569.710000000006</v>
      </c>
      <c r="F132" s="88"/>
      <c r="G132" s="89">
        <f>+E132/C132</f>
        <v>1.2009541266794628</v>
      </c>
      <c r="H132" s="91" t="s">
        <v>144</v>
      </c>
      <c r="I132" s="34"/>
      <c r="J132" s="88"/>
      <c r="K132" s="34">
        <f>112.32+230.88+2</f>
        <v>345.2</v>
      </c>
      <c r="L132" s="53"/>
      <c r="M132" s="37"/>
    </row>
    <row r="133" spans="1:13" x14ac:dyDescent="0.2">
      <c r="A133" s="11"/>
      <c r="B133" s="27"/>
      <c r="C133" s="27"/>
      <c r="D133" s="52"/>
      <c r="E133" s="34"/>
      <c r="F133" s="88"/>
      <c r="G133" s="89"/>
      <c r="H133" s="91"/>
      <c r="I133" s="34"/>
      <c r="J133" s="88"/>
      <c r="K133" s="34"/>
      <c r="L133" s="53"/>
      <c r="M133" s="37"/>
    </row>
    <row r="134" spans="1:13" ht="15.75" x14ac:dyDescent="0.25">
      <c r="A134" s="7" t="s">
        <v>7</v>
      </c>
      <c r="B134" s="27">
        <v>60000</v>
      </c>
      <c r="C134" s="27"/>
      <c r="D134" s="52"/>
      <c r="E134" s="34">
        <f>[1]Répartition!$O28</f>
        <v>80691.886500000008</v>
      </c>
      <c r="F134" s="88">
        <f t="shared" ref="F134:F135" si="37">+E134-B134</f>
        <v>20691.886500000008</v>
      </c>
      <c r="G134" s="89"/>
      <c r="H134" s="90" t="s">
        <v>79</v>
      </c>
      <c r="I134" s="34"/>
      <c r="J134" s="88"/>
      <c r="K134" s="34">
        <f>[2]Répartition!C66</f>
        <v>239.69800000000001</v>
      </c>
      <c r="L134" s="53">
        <f t="shared" ref="L134" si="38">+K134-I134</f>
        <v>239.69800000000001</v>
      </c>
      <c r="M134" s="37"/>
    </row>
    <row r="135" spans="1:13" ht="15.75" x14ac:dyDescent="0.25">
      <c r="A135" s="7" t="s">
        <v>78</v>
      </c>
      <c r="B135" s="27"/>
      <c r="C135" s="27"/>
      <c r="D135" s="52"/>
      <c r="E135" s="34">
        <f>10471.08-748.7</f>
        <v>9722.3799999999992</v>
      </c>
      <c r="F135" s="88">
        <f t="shared" si="37"/>
        <v>9722.3799999999992</v>
      </c>
      <c r="G135" s="89"/>
      <c r="H135" s="91"/>
      <c r="I135" s="34"/>
      <c r="J135" s="88"/>
      <c r="K135" s="34"/>
      <c r="L135" s="53"/>
      <c r="M135" s="37"/>
    </row>
    <row r="136" spans="1:13" ht="15.75" x14ac:dyDescent="0.25">
      <c r="A136" s="9" t="s">
        <v>77</v>
      </c>
      <c r="B136" s="27"/>
      <c r="C136" s="27">
        <f>SUM(B134:B135)</f>
        <v>60000</v>
      </c>
      <c r="D136" s="52"/>
      <c r="E136" s="34">
        <f>SUM(E134:E135)</f>
        <v>90414.266500000012</v>
      </c>
      <c r="F136" s="53">
        <f>+E136-C136</f>
        <v>30414.266500000012</v>
      </c>
      <c r="G136" s="45">
        <f>+E136/C136</f>
        <v>1.5069044416666668</v>
      </c>
      <c r="H136" s="10"/>
      <c r="I136" s="27"/>
      <c r="J136" s="53"/>
      <c r="K136" s="27"/>
      <c r="L136" s="53"/>
      <c r="M136" s="37"/>
    </row>
    <row r="137" spans="1:13" ht="13.5" thickBot="1" x14ac:dyDescent="0.25">
      <c r="A137" s="12"/>
      <c r="B137" s="28"/>
      <c r="C137" s="28"/>
      <c r="D137" s="54"/>
      <c r="E137" s="28"/>
      <c r="F137" s="55"/>
      <c r="G137" s="46"/>
      <c r="H137" s="13"/>
      <c r="I137" s="28"/>
      <c r="J137" s="55"/>
      <c r="K137" s="28"/>
      <c r="L137" s="55"/>
      <c r="M137" s="38"/>
    </row>
    <row r="138" spans="1:13" ht="16.5" thickBot="1" x14ac:dyDescent="0.3">
      <c r="A138" s="20" t="s">
        <v>70</v>
      </c>
      <c r="B138" s="72"/>
      <c r="C138" s="72"/>
      <c r="D138" s="72">
        <f>SUM(C132:C136)</f>
        <v>112100</v>
      </c>
      <c r="E138" s="70">
        <f>+E132+E136</f>
        <v>152983.97650000002</v>
      </c>
      <c r="F138" s="73">
        <f>-D138+E138</f>
        <v>40883.976500000019</v>
      </c>
      <c r="G138" s="74">
        <f>+E138/D138</f>
        <v>1.3647098706512044</v>
      </c>
      <c r="H138" s="23"/>
      <c r="I138" s="72"/>
      <c r="J138" s="77">
        <f>SUM(I127:I136)</f>
        <v>6200</v>
      </c>
      <c r="K138" s="77">
        <f>SUM(K127:K136)</f>
        <v>12234.898000000001</v>
      </c>
      <c r="L138" s="73">
        <f>-J138+K138</f>
        <v>6034.898000000001</v>
      </c>
      <c r="M138" s="78">
        <f>+K138/J138</f>
        <v>1.9733706451612905</v>
      </c>
    </row>
    <row r="139" spans="1:13" ht="5.25" customHeight="1" thickBot="1" x14ac:dyDescent="0.25">
      <c r="A139" s="4"/>
      <c r="B139" s="56"/>
      <c r="C139" s="56"/>
      <c r="D139" s="56"/>
      <c r="E139" s="26"/>
      <c r="F139" s="51"/>
      <c r="G139" s="44"/>
      <c r="H139" s="4"/>
      <c r="I139" s="56"/>
      <c r="J139" s="67"/>
      <c r="K139" s="26"/>
      <c r="L139" s="51"/>
      <c r="M139" s="36"/>
    </row>
    <row r="140" spans="1:13" ht="16.5" thickBot="1" x14ac:dyDescent="0.3">
      <c r="A140" s="20" t="s">
        <v>80</v>
      </c>
      <c r="B140" s="72"/>
      <c r="C140" s="72"/>
      <c r="D140" s="72"/>
      <c r="E140" s="70"/>
      <c r="F140" s="73"/>
      <c r="G140" s="74"/>
      <c r="H140" s="23"/>
      <c r="I140" s="72"/>
      <c r="J140" s="77"/>
      <c r="K140" s="70"/>
      <c r="L140" s="73"/>
      <c r="M140" s="76"/>
    </row>
    <row r="141" spans="1:13" x14ac:dyDescent="0.2">
      <c r="A141" s="14"/>
      <c r="B141" s="29"/>
      <c r="C141" s="29"/>
      <c r="D141" s="60"/>
      <c r="E141" s="29"/>
      <c r="F141" s="61"/>
      <c r="G141" s="48"/>
      <c r="H141" s="15"/>
      <c r="I141" s="29"/>
      <c r="J141" s="61"/>
      <c r="K141" s="29"/>
      <c r="L141" s="61"/>
      <c r="M141" s="40"/>
    </row>
    <row r="142" spans="1:13" ht="15.75" x14ac:dyDescent="0.25">
      <c r="A142" s="7" t="s">
        <v>83</v>
      </c>
      <c r="B142" s="27">
        <v>9000</v>
      </c>
      <c r="C142" s="27"/>
      <c r="D142" s="52"/>
      <c r="E142" s="34">
        <v>7160.5</v>
      </c>
      <c r="F142" s="53">
        <f t="shared" ref="F142:F143" si="39">+E142-B142</f>
        <v>-1839.5</v>
      </c>
      <c r="G142" s="45"/>
      <c r="H142" s="8"/>
      <c r="I142" s="27"/>
      <c r="J142" s="53"/>
      <c r="K142" s="27"/>
      <c r="L142" s="53"/>
      <c r="M142" s="37"/>
    </row>
    <row r="143" spans="1:13" ht="15.75" x14ac:dyDescent="0.25">
      <c r="A143" s="7" t="s">
        <v>84</v>
      </c>
      <c r="B143" s="27">
        <v>43500</v>
      </c>
      <c r="C143" s="27"/>
      <c r="D143" s="52"/>
      <c r="E143" s="34">
        <v>17483.54</v>
      </c>
      <c r="F143" s="53">
        <f t="shared" si="39"/>
        <v>-26016.46</v>
      </c>
      <c r="G143" s="45"/>
      <c r="H143" s="8"/>
      <c r="I143" s="27"/>
      <c r="J143" s="53"/>
      <c r="K143" s="27"/>
      <c r="L143" s="53"/>
      <c r="M143" s="37"/>
    </row>
    <row r="144" spans="1:13" ht="15.75" x14ac:dyDescent="0.25">
      <c r="A144" s="9" t="s">
        <v>99</v>
      </c>
      <c r="B144" s="27"/>
      <c r="C144" s="27">
        <f>SUM(B142:B143)</f>
        <v>52500</v>
      </c>
      <c r="D144" s="52"/>
      <c r="E144" s="34">
        <f>SUM(E142:E143)</f>
        <v>24644.04</v>
      </c>
      <c r="F144" s="53">
        <f>+E144-C144</f>
        <v>-27855.96</v>
      </c>
      <c r="G144" s="45">
        <f>+E144/C144</f>
        <v>0.46941028571428572</v>
      </c>
      <c r="H144" s="10"/>
      <c r="I144" s="27"/>
      <c r="J144" s="53"/>
      <c r="K144" s="27"/>
      <c r="L144" s="53"/>
      <c r="M144" s="37"/>
    </row>
    <row r="145" spans="1:13" ht="15.75" x14ac:dyDescent="0.25">
      <c r="A145" s="7"/>
      <c r="B145" s="27"/>
      <c r="C145" s="27"/>
      <c r="D145" s="52"/>
      <c r="E145" s="34"/>
      <c r="F145" s="53"/>
      <c r="G145" s="45"/>
      <c r="H145" s="8"/>
      <c r="I145" s="27"/>
      <c r="J145" s="53"/>
      <c r="K145" s="27"/>
      <c r="L145" s="53"/>
      <c r="M145" s="37"/>
    </row>
    <row r="146" spans="1:13" ht="15.75" x14ac:dyDescent="0.25">
      <c r="A146" s="7" t="s">
        <v>85</v>
      </c>
      <c r="B146" s="27">
        <f>13400+21000</f>
        <v>34400</v>
      </c>
      <c r="C146" s="27"/>
      <c r="D146" s="52"/>
      <c r="E146" s="34">
        <v>1633.73</v>
      </c>
      <c r="F146" s="53">
        <f t="shared" ref="F146:F152" si="40">+E146-B146</f>
        <v>-32766.27</v>
      </c>
      <c r="G146" s="45"/>
      <c r="H146" s="8"/>
      <c r="I146" s="27"/>
      <c r="J146" s="53"/>
      <c r="K146" s="27"/>
      <c r="L146" s="53"/>
      <c r="M146" s="37"/>
    </row>
    <row r="147" spans="1:13" ht="15.75" x14ac:dyDescent="0.25">
      <c r="A147" s="7" t="s">
        <v>91</v>
      </c>
      <c r="B147" s="27">
        <f>5000+1000+1600</f>
        <v>7600</v>
      </c>
      <c r="C147" s="27"/>
      <c r="D147" s="52"/>
      <c r="E147" s="34">
        <v>4681.51</v>
      </c>
      <c r="F147" s="53">
        <f t="shared" si="40"/>
        <v>-2918.49</v>
      </c>
      <c r="G147" s="45"/>
      <c r="H147" s="8"/>
      <c r="I147" s="27"/>
      <c r="J147" s="53"/>
      <c r="K147" s="27"/>
      <c r="L147" s="53"/>
      <c r="M147" s="37"/>
    </row>
    <row r="148" spans="1:13" ht="15.75" x14ac:dyDescent="0.25">
      <c r="A148" s="7" t="s">
        <v>86</v>
      </c>
      <c r="B148" s="27">
        <v>9500</v>
      </c>
      <c r="C148" s="27"/>
      <c r="D148" s="52"/>
      <c r="E148" s="34">
        <f>14456.45</f>
        <v>14456.45</v>
      </c>
      <c r="F148" s="53">
        <f t="shared" si="40"/>
        <v>4956.4500000000007</v>
      </c>
      <c r="G148" s="45"/>
      <c r="H148" s="8"/>
      <c r="I148" s="27"/>
      <c r="J148" s="53"/>
      <c r="K148" s="27"/>
      <c r="L148" s="53"/>
      <c r="M148" s="37"/>
    </row>
    <row r="149" spans="1:13" ht="15.75" x14ac:dyDescent="0.25">
      <c r="A149" s="9" t="s">
        <v>98</v>
      </c>
      <c r="B149" s="27"/>
      <c r="C149" s="27">
        <f>SUM(B146:B148)</f>
        <v>51500</v>
      </c>
      <c r="D149" s="52"/>
      <c r="E149" s="34">
        <f>SUM(E146:E148)</f>
        <v>20771.690000000002</v>
      </c>
      <c r="F149" s="53">
        <f>+E149-C149</f>
        <v>-30728.309999999998</v>
      </c>
      <c r="G149" s="45">
        <f>+E149/C149</f>
        <v>0.40333378640776701</v>
      </c>
      <c r="H149" s="10"/>
      <c r="I149" s="27"/>
      <c r="J149" s="53"/>
      <c r="K149" s="34"/>
      <c r="L149" s="53"/>
      <c r="M149" s="37"/>
    </row>
    <row r="150" spans="1:13" ht="15.75" x14ac:dyDescent="0.25">
      <c r="A150" s="11"/>
      <c r="B150" s="27"/>
      <c r="C150" s="27"/>
      <c r="D150" s="52"/>
      <c r="E150" s="34"/>
      <c r="F150" s="53"/>
      <c r="G150" s="45"/>
      <c r="H150" s="8" t="s">
        <v>79</v>
      </c>
      <c r="I150" s="27">
        <v>6000</v>
      </c>
      <c r="J150" s="53"/>
      <c r="K150" s="34">
        <f>[2]Répartition!C68</f>
        <v>3355.7719999999999</v>
      </c>
      <c r="L150" s="53">
        <f>+K150-I150</f>
        <v>-2644.2280000000001</v>
      </c>
      <c r="M150" s="37"/>
    </row>
    <row r="151" spans="1:13" ht="15.75" x14ac:dyDescent="0.25">
      <c r="A151" s="7" t="s">
        <v>7</v>
      </c>
      <c r="B151" s="27">
        <v>65000</v>
      </c>
      <c r="C151" s="27"/>
      <c r="D151" s="52"/>
      <c r="E151" s="34">
        <f>[1]Répartition!$O30</f>
        <v>62608.66544444445</v>
      </c>
      <c r="F151" s="53">
        <f t="shared" si="40"/>
        <v>-2391.3345555555497</v>
      </c>
      <c r="G151" s="45"/>
      <c r="H151" s="19" t="s">
        <v>109</v>
      </c>
      <c r="I151" s="27">
        <v>3500</v>
      </c>
      <c r="J151" s="53"/>
      <c r="K151" s="34">
        <v>6112.42</v>
      </c>
      <c r="L151" s="53">
        <f t="shared" ref="L151:L153" si="41">+K151-I151</f>
        <v>2612.42</v>
      </c>
      <c r="M151" s="37"/>
    </row>
    <row r="152" spans="1:13" ht="15.75" x14ac:dyDescent="0.25">
      <c r="A152" s="7" t="s">
        <v>8</v>
      </c>
      <c r="B152" s="27">
        <v>1480</v>
      </c>
      <c r="C152" s="27"/>
      <c r="D152" s="52"/>
      <c r="E152" s="34">
        <f>64078.53-3224.38</f>
        <v>60854.15</v>
      </c>
      <c r="F152" s="53">
        <f t="shared" si="40"/>
        <v>59374.15</v>
      </c>
      <c r="G152" s="45"/>
      <c r="H152" s="8" t="s">
        <v>110</v>
      </c>
      <c r="I152" s="27">
        <f>-4800+14000</f>
        <v>9200</v>
      </c>
      <c r="J152" s="53"/>
      <c r="K152" s="34">
        <f>23326.72-3224.38</f>
        <v>20102.34</v>
      </c>
      <c r="L152" s="53">
        <f t="shared" si="41"/>
        <v>10902.34</v>
      </c>
      <c r="M152" s="37"/>
    </row>
    <row r="153" spans="1:13" ht="15.75" x14ac:dyDescent="0.25">
      <c r="A153" s="9" t="s">
        <v>97</v>
      </c>
      <c r="B153" s="27"/>
      <c r="C153" s="27">
        <f>SUM(B151:B152)</f>
        <v>66480</v>
      </c>
      <c r="D153" s="52"/>
      <c r="E153" s="34">
        <f>SUM(E151:E152)</f>
        <v>123462.81544444445</v>
      </c>
      <c r="F153" s="53">
        <f>+E153-C153</f>
        <v>56982.815444444452</v>
      </c>
      <c r="G153" s="45">
        <f>+E153/C153</f>
        <v>1.8571422299104159</v>
      </c>
      <c r="H153" s="8" t="s">
        <v>138</v>
      </c>
      <c r="I153" s="27">
        <v>4800</v>
      </c>
      <c r="J153" s="53"/>
      <c r="K153" s="34">
        <v>4200</v>
      </c>
      <c r="L153" s="53">
        <f t="shared" si="41"/>
        <v>-600</v>
      </c>
      <c r="M153" s="37"/>
    </row>
    <row r="154" spans="1:13" ht="13.5" thickBot="1" x14ac:dyDescent="0.25">
      <c r="A154" s="12"/>
      <c r="B154" s="28"/>
      <c r="C154" s="28"/>
      <c r="D154" s="54"/>
      <c r="E154" s="28"/>
      <c r="F154" s="55"/>
      <c r="G154" s="46"/>
      <c r="H154" s="13"/>
      <c r="I154" s="28"/>
      <c r="J154" s="55"/>
      <c r="K154" s="28"/>
      <c r="L154" s="55"/>
      <c r="M154" s="38"/>
    </row>
    <row r="155" spans="1:13" ht="16.5" thickBot="1" x14ac:dyDescent="0.3">
      <c r="A155" s="20" t="s">
        <v>81</v>
      </c>
      <c r="B155" s="72"/>
      <c r="C155" s="72"/>
      <c r="D155" s="72">
        <f>SUM(C144:C153)</f>
        <v>170480</v>
      </c>
      <c r="E155" s="70">
        <f>+E144+E149+E153</f>
        <v>168878.54544444446</v>
      </c>
      <c r="F155" s="73">
        <f>-D155+E155</f>
        <v>-1601.4545555555378</v>
      </c>
      <c r="G155" s="74">
        <f>+E155/D155</f>
        <v>0.9906062027477972</v>
      </c>
      <c r="H155" s="23"/>
      <c r="I155" s="72"/>
      <c r="J155" s="77">
        <f>SUM(I142:I153)</f>
        <v>23500</v>
      </c>
      <c r="K155" s="77">
        <f>SUM(K142:K153)</f>
        <v>33770.531999999999</v>
      </c>
      <c r="L155" s="73">
        <f>-J155+K155</f>
        <v>10270.531999999999</v>
      </c>
      <c r="M155" s="78">
        <f>+K155/J155</f>
        <v>1.4370439148936169</v>
      </c>
    </row>
    <row r="156" spans="1:13" x14ac:dyDescent="0.2">
      <c r="A156" s="14"/>
      <c r="B156" s="29"/>
      <c r="C156" s="29"/>
      <c r="D156" s="62"/>
      <c r="E156" s="29"/>
      <c r="F156" s="61"/>
      <c r="G156" s="48"/>
      <c r="H156" s="14"/>
      <c r="I156" s="29"/>
      <c r="J156" s="68"/>
      <c r="K156" s="29"/>
      <c r="L156" s="61"/>
      <c r="M156" s="40"/>
    </row>
    <row r="157" spans="1:13" ht="15.75" x14ac:dyDescent="0.25">
      <c r="A157" s="17" t="s">
        <v>87</v>
      </c>
      <c r="B157" s="27"/>
      <c r="C157" s="27"/>
      <c r="D157" s="63"/>
      <c r="E157" s="27"/>
      <c r="F157" s="53"/>
      <c r="G157" s="45"/>
      <c r="H157" s="8"/>
      <c r="I157" s="27"/>
      <c r="J157" s="53"/>
      <c r="K157" s="27"/>
      <c r="L157" s="53"/>
      <c r="M157" s="37"/>
    </row>
    <row r="158" spans="1:13" ht="15.75" x14ac:dyDescent="0.25">
      <c r="A158" s="17" t="s">
        <v>139</v>
      </c>
      <c r="B158" s="27"/>
      <c r="C158" s="27"/>
      <c r="D158" s="63"/>
      <c r="E158" s="27"/>
      <c r="F158" s="53"/>
      <c r="G158" s="45"/>
      <c r="H158" s="10"/>
      <c r="I158" s="27"/>
      <c r="J158" s="53"/>
      <c r="K158" s="27"/>
      <c r="L158" s="53"/>
      <c r="M158" s="37"/>
    </row>
    <row r="159" spans="1:13" ht="13.5" thickBot="1" x14ac:dyDescent="0.25">
      <c r="A159" s="12"/>
      <c r="B159" s="28"/>
      <c r="C159" s="28"/>
      <c r="D159" s="64"/>
      <c r="E159" s="28"/>
      <c r="F159" s="55"/>
      <c r="G159" s="46"/>
      <c r="H159" s="13"/>
      <c r="I159" s="28"/>
      <c r="J159" s="55"/>
      <c r="K159" s="28"/>
      <c r="L159" s="55"/>
      <c r="M159" s="38"/>
    </row>
    <row r="160" spans="1:13" ht="16.5" thickBot="1" x14ac:dyDescent="0.3">
      <c r="A160" s="20" t="s">
        <v>89</v>
      </c>
      <c r="B160" s="72"/>
      <c r="C160" s="72"/>
      <c r="D160" s="72">
        <f>+D17+D47+D59+D76+D87+D107+D123+D138+D155</f>
        <v>931495</v>
      </c>
      <c r="E160" s="70">
        <f>+E17+E47+E59+E76+E87+E107+E123+E138+E155+E158</f>
        <v>847743.96</v>
      </c>
      <c r="F160" s="73">
        <f>-D160+E160</f>
        <v>-83751.040000000037</v>
      </c>
      <c r="G160" s="74">
        <f>+E160/D160</f>
        <v>0.91008965158159727</v>
      </c>
      <c r="H160" s="20" t="s">
        <v>134</v>
      </c>
      <c r="I160" s="72"/>
      <c r="J160" s="77">
        <f>+J17+J47+J59+J76+J87+J107+J123+J138+J155</f>
        <v>931495</v>
      </c>
      <c r="K160" s="77">
        <f>+K17+K47+K59+K76+K87+K107+K123+K138+K155</f>
        <v>765221.27000000014</v>
      </c>
      <c r="L160" s="73">
        <f>-J160+K160</f>
        <v>-166273.72999999986</v>
      </c>
      <c r="M160" s="78">
        <f>+K160/J160</f>
        <v>0.82149798979060562</v>
      </c>
    </row>
    <row r="161" spans="8:14" ht="7.5" customHeight="1" x14ac:dyDescent="0.2"/>
    <row r="162" spans="8:14" ht="18" customHeight="1" x14ac:dyDescent="0.2">
      <c r="H162" s="113" t="s">
        <v>152</v>
      </c>
      <c r="I162" s="87"/>
      <c r="J162" s="87"/>
      <c r="K162" s="114">
        <f>+K160-E160</f>
        <v>-82522.689999999828</v>
      </c>
      <c r="L162" s="113"/>
    </row>
    <row r="163" spans="8:14" x14ac:dyDescent="0.2">
      <c r="H163" s="113"/>
      <c r="K163" s="113"/>
      <c r="L163" s="113"/>
    </row>
    <row r="165" spans="8:14" ht="15" x14ac:dyDescent="0.25">
      <c r="M165" s="111"/>
      <c r="N165" s="112"/>
    </row>
    <row r="166" spans="8:14" x14ac:dyDescent="0.2">
      <c r="N166" s="24"/>
    </row>
    <row r="170" spans="8:14" x14ac:dyDescent="0.2">
      <c r="H170" s="24"/>
    </row>
    <row r="171" spans="8:14" x14ac:dyDescent="0.2">
      <c r="H171" s="24"/>
    </row>
  </sheetData>
  <mergeCells count="8">
    <mergeCell ref="M165:N165"/>
    <mergeCell ref="H162:H163"/>
    <mergeCell ref="K162:L163"/>
    <mergeCell ref="A1:J1"/>
    <mergeCell ref="B3:G3"/>
    <mergeCell ref="H3:M3"/>
    <mergeCell ref="B4:D4"/>
    <mergeCell ref="H4:J4"/>
  </mergeCells>
  <pageMargins left="0" right="0" top="0" bottom="0" header="0" footer="0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8"/>
  <sheetViews>
    <sheetView showWhiteSpace="0" topLeftCell="A22" zoomScaleNormal="100" workbookViewId="0">
      <selection activeCell="J46" sqref="J46"/>
    </sheetView>
  </sheetViews>
  <sheetFormatPr baseColWidth="10" defaultRowHeight="12.75" x14ac:dyDescent="0.2"/>
  <cols>
    <col min="1" max="1" width="38.85546875" style="1" customWidth="1"/>
    <col min="2" max="2" width="9.85546875" style="24" customWidth="1"/>
    <col min="3" max="3" width="11.5703125" style="24" customWidth="1"/>
    <col min="4" max="4" width="10" style="24" customWidth="1"/>
    <col min="5" max="6" width="11.85546875" style="24" customWidth="1"/>
    <col min="7" max="7" width="11.140625" style="43" customWidth="1"/>
    <col min="8" max="9" width="11.42578125" style="1"/>
    <col min="10" max="10" width="13.7109375" style="1" customWidth="1"/>
    <col min="11" max="16384" width="11.42578125" style="1"/>
  </cols>
  <sheetData>
    <row r="1" spans="1:10" ht="21" customHeight="1" x14ac:dyDescent="0.35">
      <c r="A1" s="131" t="s">
        <v>148</v>
      </c>
      <c r="B1" s="131"/>
      <c r="C1" s="131"/>
      <c r="D1" s="131"/>
      <c r="E1" s="131"/>
      <c r="F1" s="131"/>
      <c r="G1" s="131"/>
    </row>
    <row r="2" spans="1:10" ht="6" customHeight="1" thickBot="1" x14ac:dyDescent="0.25"/>
    <row r="3" spans="1:10" ht="18.75" customHeight="1" thickBot="1" x14ac:dyDescent="0.3">
      <c r="A3" s="3" t="s">
        <v>1</v>
      </c>
      <c r="B3" s="116" t="s">
        <v>150</v>
      </c>
      <c r="C3" s="117"/>
      <c r="D3" s="117"/>
      <c r="E3" s="118"/>
      <c r="F3" s="118"/>
      <c r="G3" s="132"/>
    </row>
    <row r="4" spans="1:10" ht="33.75" customHeight="1" thickBot="1" x14ac:dyDescent="0.3">
      <c r="A4" s="4"/>
      <c r="B4" s="124" t="s">
        <v>122</v>
      </c>
      <c r="C4" s="125"/>
      <c r="D4" s="126"/>
      <c r="E4" s="25" t="s">
        <v>124</v>
      </c>
      <c r="F4" s="49" t="s">
        <v>125</v>
      </c>
      <c r="G4" s="79" t="s">
        <v>131</v>
      </c>
    </row>
    <row r="5" spans="1:10" ht="16.5" thickBot="1" x14ac:dyDescent="0.3">
      <c r="A5" s="20" t="s">
        <v>145</v>
      </c>
      <c r="B5" s="72"/>
      <c r="C5" s="72"/>
      <c r="D5" s="93"/>
      <c r="E5" s="70"/>
      <c r="F5" s="73"/>
      <c r="G5" s="80"/>
    </row>
    <row r="6" spans="1:10" ht="16.5" thickBot="1" x14ac:dyDescent="0.3">
      <c r="A6" s="20" t="s">
        <v>146</v>
      </c>
      <c r="B6" s="72"/>
      <c r="C6" s="72"/>
      <c r="D6" s="72">
        <f>+'CR FINANCIER 2018 pour AG'!D17</f>
        <v>129800</v>
      </c>
      <c r="E6" s="70">
        <f>+'CR FINANCIER 2018 pour AG'!E17</f>
        <v>90376.268555555551</v>
      </c>
      <c r="F6" s="73">
        <f>+E6-D6</f>
        <v>-39423.731444444449</v>
      </c>
      <c r="G6" s="80">
        <f>E6/D6</f>
        <v>0.69627325543571306</v>
      </c>
      <c r="H6" s="24"/>
    </row>
    <row r="7" spans="1:10" ht="9" customHeight="1" thickBot="1" x14ac:dyDescent="0.25">
      <c r="A7" s="4"/>
      <c r="B7" s="56"/>
      <c r="C7" s="56"/>
      <c r="D7" s="56"/>
      <c r="E7" s="26"/>
      <c r="F7" s="51"/>
      <c r="G7" s="81"/>
    </row>
    <row r="8" spans="1:10" ht="16.5" thickBot="1" x14ac:dyDescent="0.3">
      <c r="A8" s="20" t="s">
        <v>11</v>
      </c>
      <c r="B8" s="72"/>
      <c r="C8" s="72"/>
      <c r="D8" s="72"/>
      <c r="E8" s="70"/>
      <c r="F8" s="73"/>
      <c r="G8" s="80"/>
    </row>
    <row r="9" spans="1:10" ht="16.5" thickBot="1" x14ac:dyDescent="0.3">
      <c r="A9" s="20" t="s">
        <v>12</v>
      </c>
      <c r="B9" s="72"/>
      <c r="C9" s="72"/>
      <c r="D9" s="72">
        <f>+'CR FINANCIER 2018 pour AG'!D47</f>
        <v>227865</v>
      </c>
      <c r="E9" s="70">
        <f>+'CR FINANCIER 2018 pour AG'!E47</f>
        <v>266835.42975555558</v>
      </c>
      <c r="F9" s="73">
        <f>+E9-D9</f>
        <v>38970.429755555582</v>
      </c>
      <c r="G9" s="80">
        <f>E9/D9</f>
        <v>1.1710242018544119</v>
      </c>
      <c r="H9" s="24"/>
      <c r="I9" s="69"/>
      <c r="J9" s="69"/>
    </row>
    <row r="10" spans="1:10" ht="6.75" customHeight="1" thickBot="1" x14ac:dyDescent="0.25">
      <c r="A10" s="4"/>
      <c r="B10" s="56"/>
      <c r="C10" s="56"/>
      <c r="D10" s="56"/>
      <c r="E10" s="26"/>
      <c r="F10" s="51"/>
      <c r="G10" s="81"/>
    </row>
    <row r="11" spans="1:10" ht="16.5" thickBot="1" x14ac:dyDescent="0.3">
      <c r="A11" s="20" t="s">
        <v>26</v>
      </c>
      <c r="B11" s="72"/>
      <c r="C11" s="72"/>
      <c r="D11" s="72"/>
      <c r="E11" s="70"/>
      <c r="F11" s="73"/>
      <c r="G11" s="80"/>
    </row>
    <row r="12" spans="1:10" ht="16.5" thickBot="1" x14ac:dyDescent="0.3">
      <c r="A12" s="20" t="s">
        <v>27</v>
      </c>
      <c r="B12" s="72"/>
      <c r="C12" s="72"/>
      <c r="D12" s="72">
        <f>+'CR FINANCIER 2018 pour AG'!D59</f>
        <v>42000</v>
      </c>
      <c r="E12" s="70">
        <f>+'CR FINANCIER 2018 pour AG'!E59</f>
        <v>36747.685249999995</v>
      </c>
      <c r="F12" s="73">
        <f>+E12-D12</f>
        <v>-5252.314750000005</v>
      </c>
      <c r="G12" s="80">
        <f>E12/D12</f>
        <v>0.8749448869047618</v>
      </c>
    </row>
    <row r="13" spans="1:10" ht="6.75" customHeight="1" thickBot="1" x14ac:dyDescent="0.25">
      <c r="A13" s="4"/>
      <c r="B13" s="56"/>
      <c r="C13" s="56"/>
      <c r="D13" s="56"/>
      <c r="E13" s="26"/>
      <c r="F13" s="51"/>
      <c r="G13" s="81"/>
    </row>
    <row r="14" spans="1:10" ht="16.5" thickBot="1" x14ac:dyDescent="0.3">
      <c r="A14" s="20" t="s">
        <v>32</v>
      </c>
      <c r="B14" s="72"/>
      <c r="C14" s="72"/>
      <c r="D14" s="72"/>
      <c r="E14" s="70"/>
      <c r="F14" s="73"/>
      <c r="G14" s="80"/>
    </row>
    <row r="15" spans="1:10" ht="16.5" thickBot="1" x14ac:dyDescent="0.3">
      <c r="A15" s="20" t="s">
        <v>31</v>
      </c>
      <c r="B15" s="72"/>
      <c r="C15" s="72"/>
      <c r="D15" s="72">
        <f>+'CR FINANCIER 2018 pour AG'!D76</f>
        <v>33650</v>
      </c>
      <c r="E15" s="70">
        <f>+'CR FINANCIER 2018 pour AG'!E76</f>
        <v>10798.995138888889</v>
      </c>
      <c r="F15" s="73">
        <f>+E15-D15</f>
        <v>-22851.004861111112</v>
      </c>
      <c r="G15" s="80">
        <f>E15/D15</f>
        <v>0.32092110368169063</v>
      </c>
    </row>
    <row r="16" spans="1:10" ht="6" customHeight="1" thickBot="1" x14ac:dyDescent="0.25">
      <c r="A16" s="4"/>
      <c r="B16" s="56"/>
      <c r="C16" s="56"/>
      <c r="D16" s="56"/>
      <c r="E16" s="26"/>
      <c r="F16" s="51"/>
      <c r="G16" s="81"/>
    </row>
    <row r="17" spans="1:7" ht="16.5" thickBot="1" x14ac:dyDescent="0.3">
      <c r="A17" s="20" t="s">
        <v>38</v>
      </c>
      <c r="B17" s="72"/>
      <c r="C17" s="72"/>
      <c r="D17" s="72"/>
      <c r="E17" s="70"/>
      <c r="F17" s="73"/>
      <c r="G17" s="80"/>
    </row>
    <row r="18" spans="1:7" ht="16.5" thickBot="1" x14ac:dyDescent="0.3">
      <c r="A18" s="20" t="s">
        <v>39</v>
      </c>
      <c r="B18" s="72"/>
      <c r="C18" s="72"/>
      <c r="D18" s="72">
        <f>+'CR FINANCIER 2018 pour AG'!D87</f>
        <v>51100</v>
      </c>
      <c r="E18" s="70">
        <f>+'CR FINANCIER 2018 pour AG'!E87</f>
        <v>29264.743005555552</v>
      </c>
      <c r="F18" s="73">
        <f>+E18-D18</f>
        <v>-21835.256994444448</v>
      </c>
      <c r="G18" s="80">
        <f>E18/D18</f>
        <v>0.57269555783866055</v>
      </c>
    </row>
    <row r="19" spans="1:7" ht="6" customHeight="1" thickBot="1" x14ac:dyDescent="0.25">
      <c r="A19" s="4"/>
      <c r="B19" s="56"/>
      <c r="C19" s="56"/>
      <c r="D19" s="56"/>
      <c r="E19" s="26"/>
      <c r="F19" s="51"/>
      <c r="G19" s="81"/>
    </row>
    <row r="20" spans="1:7" ht="16.5" thickBot="1" x14ac:dyDescent="0.3">
      <c r="A20" s="20" t="s">
        <v>45</v>
      </c>
      <c r="B20" s="72"/>
      <c r="C20" s="72"/>
      <c r="D20" s="72"/>
      <c r="E20" s="70"/>
      <c r="F20" s="73"/>
      <c r="G20" s="80"/>
    </row>
    <row r="21" spans="1:7" ht="16.5" thickBot="1" x14ac:dyDescent="0.3">
      <c r="A21" s="20" t="s">
        <v>57</v>
      </c>
      <c r="B21" s="72"/>
      <c r="C21" s="72"/>
      <c r="D21" s="72">
        <f>+'CR FINANCIER 2018 pour AG'!D107</f>
        <v>83000</v>
      </c>
      <c r="E21" s="70">
        <f>+'CR FINANCIER 2018 pour AG'!E107</f>
        <v>77252.076516666668</v>
      </c>
      <c r="F21" s="73">
        <f>+E21-D21</f>
        <v>-5747.9234833333321</v>
      </c>
      <c r="G21" s="80">
        <f>E21/D21</f>
        <v>0.9307479098393574</v>
      </c>
    </row>
    <row r="22" spans="1:7" ht="4.5" customHeight="1" thickBot="1" x14ac:dyDescent="0.25">
      <c r="A22" s="4"/>
      <c r="B22" s="56"/>
      <c r="C22" s="56"/>
      <c r="D22" s="56"/>
      <c r="E22" s="26"/>
      <c r="F22" s="51"/>
      <c r="G22" s="81"/>
    </row>
    <row r="23" spans="1:7" ht="16.5" thickBot="1" x14ac:dyDescent="0.3">
      <c r="A23" s="20" t="s">
        <v>60</v>
      </c>
      <c r="B23" s="72"/>
      <c r="C23" s="72"/>
      <c r="D23" s="72"/>
      <c r="E23" s="70"/>
      <c r="F23" s="73"/>
      <c r="G23" s="80"/>
    </row>
    <row r="24" spans="1:7" ht="16.5" thickBot="1" x14ac:dyDescent="0.3">
      <c r="A24" s="20" t="s">
        <v>61</v>
      </c>
      <c r="B24" s="72"/>
      <c r="C24" s="72"/>
      <c r="D24" s="72">
        <f>+'CR FINANCIER 2018 pour AG'!D123</f>
        <v>81500</v>
      </c>
      <c r="E24" s="70">
        <f>+'CR FINANCIER 2018 pour AG'!E123</f>
        <v>14606.239833333333</v>
      </c>
      <c r="F24" s="73">
        <f>+E24-D24</f>
        <v>-66893.760166666674</v>
      </c>
      <c r="G24" s="80">
        <f>E24/D24</f>
        <v>0.17921766666666666</v>
      </c>
    </row>
    <row r="25" spans="1:7" ht="6.75" customHeight="1" thickBot="1" x14ac:dyDescent="0.25">
      <c r="A25" s="4"/>
      <c r="B25" s="56"/>
      <c r="C25" s="56"/>
      <c r="D25" s="56"/>
      <c r="E25" s="26"/>
      <c r="F25" s="51"/>
      <c r="G25" s="81"/>
    </row>
    <row r="26" spans="1:7" ht="16.5" thickBot="1" x14ac:dyDescent="0.3">
      <c r="A26" s="20" t="s">
        <v>69</v>
      </c>
      <c r="B26" s="72"/>
      <c r="C26" s="72"/>
      <c r="D26" s="72"/>
      <c r="E26" s="70"/>
      <c r="F26" s="73"/>
      <c r="G26" s="80"/>
    </row>
    <row r="27" spans="1:7" ht="16.5" thickBot="1" x14ac:dyDescent="0.3">
      <c r="A27" s="20" t="s">
        <v>70</v>
      </c>
      <c r="B27" s="72"/>
      <c r="C27" s="72"/>
      <c r="D27" s="72">
        <f>+'CR FINANCIER 2018 pour AG'!D138</f>
        <v>112100</v>
      </c>
      <c r="E27" s="70">
        <f>+'CR FINANCIER 2018 pour AG'!E138</f>
        <v>152983.97650000002</v>
      </c>
      <c r="F27" s="73">
        <f>+E27-D27</f>
        <v>40883.976500000019</v>
      </c>
      <c r="G27" s="80">
        <f>E27/D27</f>
        <v>1.3647098706512044</v>
      </c>
    </row>
    <row r="28" spans="1:7" ht="5.25" customHeight="1" thickBot="1" x14ac:dyDescent="0.25">
      <c r="A28" s="4"/>
      <c r="B28" s="56"/>
      <c r="C28" s="56"/>
      <c r="D28" s="56"/>
      <c r="E28" s="26"/>
      <c r="F28" s="51"/>
      <c r="G28" s="81"/>
    </row>
    <row r="29" spans="1:7" ht="16.5" thickBot="1" x14ac:dyDescent="0.3">
      <c r="A29" s="20" t="s">
        <v>80</v>
      </c>
      <c r="B29" s="72"/>
      <c r="C29" s="72"/>
      <c r="D29" s="72"/>
      <c r="E29" s="70"/>
      <c r="F29" s="73"/>
      <c r="G29" s="80"/>
    </row>
    <row r="30" spans="1:7" ht="16.5" thickBot="1" x14ac:dyDescent="0.3">
      <c r="A30" s="20" t="s">
        <v>81</v>
      </c>
      <c r="B30" s="72"/>
      <c r="C30" s="72"/>
      <c r="D30" s="72">
        <f>+'CR FINANCIER 2018 pour AG'!D155</f>
        <v>170480</v>
      </c>
      <c r="E30" s="70">
        <f>+'CR FINANCIER 2018 pour AG'!E155</f>
        <v>168878.54544444446</v>
      </c>
      <c r="F30" s="73">
        <f>+E30-D30</f>
        <v>-1601.4545555555378</v>
      </c>
      <c r="G30" s="80">
        <f>E30/D30</f>
        <v>0.9906062027477972</v>
      </c>
    </row>
    <row r="31" spans="1:7" ht="2.25" customHeight="1" x14ac:dyDescent="0.2">
      <c r="A31" s="14"/>
      <c r="B31" s="62"/>
      <c r="C31" s="62"/>
      <c r="D31" s="62"/>
      <c r="E31" s="29"/>
      <c r="F31" s="61"/>
      <c r="G31" s="82"/>
    </row>
    <row r="32" spans="1:7" ht="15.75" x14ac:dyDescent="0.25">
      <c r="A32" s="17" t="s">
        <v>87</v>
      </c>
      <c r="B32" s="63"/>
      <c r="C32" s="63"/>
      <c r="D32" s="94"/>
      <c r="E32" s="27"/>
      <c r="F32" s="53"/>
      <c r="G32" s="83"/>
    </row>
    <row r="33" spans="1:10" ht="15.75" x14ac:dyDescent="0.25">
      <c r="A33" s="17" t="s">
        <v>88</v>
      </c>
      <c r="B33" s="63"/>
      <c r="C33" s="63"/>
      <c r="D33" s="94"/>
      <c r="E33" s="27"/>
      <c r="F33" s="53"/>
      <c r="G33" s="83"/>
    </row>
    <row r="34" spans="1:10" ht="3" customHeight="1" thickBot="1" x14ac:dyDescent="0.25">
      <c r="A34" s="12"/>
      <c r="B34" s="64"/>
      <c r="C34" s="64"/>
      <c r="D34" s="64"/>
      <c r="E34" s="28"/>
      <c r="F34" s="55"/>
      <c r="G34" s="84"/>
    </row>
    <row r="35" spans="1:10" ht="16.5" thickBot="1" x14ac:dyDescent="0.3">
      <c r="A35" s="20" t="s">
        <v>135</v>
      </c>
      <c r="B35" s="72"/>
      <c r="C35" s="72"/>
      <c r="D35" s="72">
        <f>SUM(D6:D34)</f>
        <v>931495</v>
      </c>
      <c r="E35" s="70">
        <f>SUM(E6:E34)</f>
        <v>847743.96</v>
      </c>
      <c r="F35" s="73">
        <f>+E35-D35</f>
        <v>-83751.040000000037</v>
      </c>
      <c r="G35" s="80">
        <f>E35/D35</f>
        <v>0.91008965158159727</v>
      </c>
      <c r="J35" s="35">
        <f>+F35/D35</f>
        <v>-8.9910348418402716E-2</v>
      </c>
    </row>
    <row r="37" spans="1:10" ht="22.5" customHeight="1" x14ac:dyDescent="0.3">
      <c r="A37" s="133"/>
      <c r="B37" s="134"/>
      <c r="C37" s="134"/>
      <c r="D37" s="134"/>
      <c r="E37" s="134"/>
      <c r="F37" s="134"/>
      <c r="G37" s="134"/>
    </row>
    <row r="38" spans="1:10" ht="8.25" customHeight="1" x14ac:dyDescent="0.2"/>
    <row r="39" spans="1:10" ht="18.75" x14ac:dyDescent="0.3">
      <c r="A39" s="130"/>
      <c r="B39" s="130"/>
      <c r="C39" s="130"/>
      <c r="D39" s="130"/>
      <c r="E39" s="130"/>
      <c r="F39" s="130"/>
      <c r="G39" s="130"/>
    </row>
    <row r="41" spans="1:10" ht="21" customHeight="1" x14ac:dyDescent="0.35">
      <c r="A41" s="131" t="s">
        <v>148</v>
      </c>
      <c r="B41" s="131"/>
      <c r="C41" s="131"/>
      <c r="D41" s="131"/>
      <c r="E41" s="131"/>
      <c r="F41" s="131"/>
      <c r="G41" s="131"/>
    </row>
    <row r="42" spans="1:10" ht="13.5" thickBot="1" x14ac:dyDescent="0.25"/>
    <row r="43" spans="1:10" ht="16.5" thickBot="1" x14ac:dyDescent="0.3">
      <c r="A43" s="86" t="s">
        <v>1</v>
      </c>
      <c r="B43" s="116" t="s">
        <v>149</v>
      </c>
      <c r="C43" s="136"/>
      <c r="D43" s="136"/>
      <c r="E43" s="137"/>
      <c r="F43" s="137"/>
      <c r="G43" s="138"/>
    </row>
    <row r="44" spans="1:10" ht="48" thickBot="1" x14ac:dyDescent="0.25">
      <c r="A44" s="4"/>
      <c r="B44" s="127" t="s">
        <v>122</v>
      </c>
      <c r="C44" s="128"/>
      <c r="D44" s="128"/>
      <c r="E44" s="98" t="s">
        <v>126</v>
      </c>
      <c r="F44" s="99" t="s">
        <v>125</v>
      </c>
      <c r="G44" s="100" t="s">
        <v>131</v>
      </c>
      <c r="H44" s="24"/>
    </row>
    <row r="45" spans="1:10" ht="16.5" thickBot="1" x14ac:dyDescent="0.3">
      <c r="A45" s="20" t="s">
        <v>4</v>
      </c>
      <c r="B45" s="95"/>
      <c r="C45" s="72"/>
      <c r="D45" s="72"/>
      <c r="E45" s="70"/>
      <c r="F45" s="70"/>
      <c r="G45" s="101"/>
    </row>
    <row r="46" spans="1:10" ht="16.5" thickBot="1" x14ac:dyDescent="0.3">
      <c r="A46" s="20" t="s">
        <v>9</v>
      </c>
      <c r="B46" s="95"/>
      <c r="C46" s="72"/>
      <c r="D46" s="72">
        <f>+'CR FINANCIER 2018 pour AG'!J17</f>
        <v>120600</v>
      </c>
      <c r="E46" s="70">
        <f>+'CR FINANCIER 2018 pour AG'!K17</f>
        <v>22639</v>
      </c>
      <c r="F46" s="70">
        <f>+E46-D46</f>
        <v>-97961</v>
      </c>
      <c r="G46" s="102">
        <f>E46/D46</f>
        <v>0.18771973466003317</v>
      </c>
    </row>
    <row r="47" spans="1:10" ht="13.5" thickBot="1" x14ac:dyDescent="0.25">
      <c r="A47" s="4"/>
      <c r="B47" s="2"/>
      <c r="C47" s="56"/>
      <c r="D47" s="56"/>
      <c r="E47" s="26"/>
      <c r="F47" s="26"/>
      <c r="G47" s="103"/>
    </row>
    <row r="48" spans="1:10" ht="16.5" thickBot="1" x14ac:dyDescent="0.3">
      <c r="A48" s="20" t="s">
        <v>11</v>
      </c>
      <c r="B48" s="95"/>
      <c r="C48" s="72"/>
      <c r="D48" s="72"/>
      <c r="E48" s="70"/>
      <c r="F48" s="70"/>
      <c r="G48" s="101"/>
    </row>
    <row r="49" spans="1:7" ht="16.5" thickBot="1" x14ac:dyDescent="0.3">
      <c r="A49" s="20" t="s">
        <v>12</v>
      </c>
      <c r="B49" s="95"/>
      <c r="C49" s="72"/>
      <c r="D49" s="72">
        <f>+'CR FINANCIER 2018 pour AG'!J47</f>
        <v>172995</v>
      </c>
      <c r="E49" s="70">
        <f>+'CR FINANCIER 2018 pour AG'!K47</f>
        <v>134763.08799999999</v>
      </c>
      <c r="F49" s="70">
        <f>+E49-D49</f>
        <v>-38231.912000000011</v>
      </c>
      <c r="G49" s="102">
        <f>E49/D49</f>
        <v>0.77899990173126388</v>
      </c>
    </row>
    <row r="50" spans="1:7" ht="13.5" thickBot="1" x14ac:dyDescent="0.25">
      <c r="A50" s="4"/>
      <c r="B50" s="2"/>
      <c r="C50" s="56"/>
      <c r="D50" s="56"/>
      <c r="E50" s="26"/>
      <c r="F50" s="26"/>
      <c r="G50" s="103"/>
    </row>
    <row r="51" spans="1:7" ht="16.5" thickBot="1" x14ac:dyDescent="0.3">
      <c r="A51" s="20" t="s">
        <v>26</v>
      </c>
      <c r="B51" s="95"/>
      <c r="C51" s="72"/>
      <c r="D51" s="72"/>
      <c r="E51" s="70"/>
      <c r="F51" s="70"/>
      <c r="G51" s="101"/>
    </row>
    <row r="52" spans="1:7" ht="16.5" thickBot="1" x14ac:dyDescent="0.3">
      <c r="A52" s="20" t="s">
        <v>27</v>
      </c>
      <c r="B52" s="95"/>
      <c r="C52" s="72"/>
      <c r="D52" s="72">
        <f>+'CR FINANCIER 2018 pour AG'!J59</f>
        <v>6000</v>
      </c>
      <c r="E52" s="70">
        <f>+'CR FINANCIER 2018 pour AG'!K59</f>
        <v>26269.848999999998</v>
      </c>
      <c r="F52" s="70">
        <f>+E52-D52</f>
        <v>20269.848999999998</v>
      </c>
      <c r="G52" s="102">
        <f>E52/D52</f>
        <v>4.3783081666666668</v>
      </c>
    </row>
    <row r="53" spans="1:7" ht="13.5" thickBot="1" x14ac:dyDescent="0.25">
      <c r="A53" s="4"/>
      <c r="B53" s="2"/>
      <c r="C53" s="56"/>
      <c r="D53" s="56"/>
      <c r="E53" s="26"/>
      <c r="F53" s="26"/>
      <c r="G53" s="103"/>
    </row>
    <row r="54" spans="1:7" ht="16.5" thickBot="1" x14ac:dyDescent="0.3">
      <c r="A54" s="20" t="s">
        <v>32</v>
      </c>
      <c r="B54" s="95"/>
      <c r="C54" s="72"/>
      <c r="D54" s="72"/>
      <c r="E54" s="70"/>
      <c r="F54" s="70"/>
      <c r="G54" s="101"/>
    </row>
    <row r="55" spans="1:7" ht="16.5" thickBot="1" x14ac:dyDescent="0.3">
      <c r="A55" s="20" t="s">
        <v>31</v>
      </c>
      <c r="B55" s="95"/>
      <c r="C55" s="72"/>
      <c r="D55" s="72">
        <f>+'CR FINANCIER 2018 pour AG'!J76</f>
        <v>27700</v>
      </c>
      <c r="E55" s="70">
        <f>+'CR FINANCIER 2018 pour AG'!K76</f>
        <v>9646.0990000000002</v>
      </c>
      <c r="F55" s="70">
        <f>+E55-D55</f>
        <v>-18053.900999999998</v>
      </c>
      <c r="G55" s="102">
        <f>E55/D55</f>
        <v>0.34823462093862817</v>
      </c>
    </row>
    <row r="56" spans="1:7" ht="13.5" thickBot="1" x14ac:dyDescent="0.25">
      <c r="A56" s="4"/>
      <c r="B56" s="2"/>
      <c r="C56" s="56"/>
      <c r="D56" s="56"/>
      <c r="E56" s="26"/>
      <c r="F56" s="26"/>
      <c r="G56" s="103"/>
    </row>
    <row r="57" spans="1:7" ht="16.5" thickBot="1" x14ac:dyDescent="0.3">
      <c r="A57" s="20" t="s">
        <v>38</v>
      </c>
      <c r="B57" s="95"/>
      <c r="C57" s="72"/>
      <c r="D57" s="72"/>
      <c r="E57" s="70"/>
      <c r="F57" s="70"/>
      <c r="G57" s="101"/>
    </row>
    <row r="58" spans="1:7" ht="16.5" thickBot="1" x14ac:dyDescent="0.3">
      <c r="A58" s="20" t="s">
        <v>39</v>
      </c>
      <c r="B58" s="95"/>
      <c r="C58" s="72"/>
      <c r="D58" s="72">
        <f>+'CR FINANCIER 2018 pour AG'!J87</f>
        <v>31500</v>
      </c>
      <c r="E58" s="70">
        <f>+'CR FINANCIER 2018 pour AG'!K87</f>
        <v>18042.918999999998</v>
      </c>
      <c r="F58" s="70">
        <f>+E58-D58</f>
        <v>-13457.081000000002</v>
      </c>
      <c r="G58" s="102">
        <f>E58/D58</f>
        <v>0.57279107936507934</v>
      </c>
    </row>
    <row r="59" spans="1:7" ht="13.5" thickBot="1" x14ac:dyDescent="0.25">
      <c r="A59" s="4"/>
      <c r="B59" s="2"/>
      <c r="C59" s="56"/>
      <c r="D59" s="56"/>
      <c r="E59" s="26"/>
      <c r="F59" s="26"/>
      <c r="G59" s="103"/>
    </row>
    <row r="60" spans="1:7" ht="16.5" thickBot="1" x14ac:dyDescent="0.3">
      <c r="A60" s="20" t="s">
        <v>45</v>
      </c>
      <c r="B60" s="95"/>
      <c r="C60" s="72"/>
      <c r="D60" s="72"/>
      <c r="E60" s="70"/>
      <c r="F60" s="70"/>
      <c r="G60" s="101"/>
    </row>
    <row r="61" spans="1:7" ht="16.5" thickBot="1" x14ac:dyDescent="0.3">
      <c r="A61" s="20" t="s">
        <v>57</v>
      </c>
      <c r="B61" s="95"/>
      <c r="C61" s="72"/>
      <c r="D61" s="72">
        <f>+'CR FINANCIER 2018 pour AG'!J107</f>
        <v>67000</v>
      </c>
      <c r="E61" s="70">
        <f>+'CR FINANCIER 2018 pour AG'!K107</f>
        <v>71873.339000000007</v>
      </c>
      <c r="F61" s="70">
        <f>+E61-D61</f>
        <v>4873.3390000000072</v>
      </c>
      <c r="G61" s="102">
        <f>E61/D61</f>
        <v>1.0727364029850748</v>
      </c>
    </row>
    <row r="62" spans="1:7" ht="13.5" thickBot="1" x14ac:dyDescent="0.25">
      <c r="A62" s="4"/>
      <c r="B62" s="2"/>
      <c r="C62" s="56"/>
      <c r="D62" s="56"/>
      <c r="E62" s="26"/>
      <c r="F62" s="26"/>
      <c r="G62" s="103"/>
    </row>
    <row r="63" spans="1:7" ht="16.5" thickBot="1" x14ac:dyDescent="0.3">
      <c r="A63" s="20" t="s">
        <v>60</v>
      </c>
      <c r="B63" s="95"/>
      <c r="C63" s="72"/>
      <c r="D63" s="72"/>
      <c r="E63" s="70"/>
      <c r="F63" s="70"/>
      <c r="G63" s="101"/>
    </row>
    <row r="64" spans="1:7" ht="16.5" thickBot="1" x14ac:dyDescent="0.3">
      <c r="A64" s="20" t="s">
        <v>61</v>
      </c>
      <c r="B64" s="95"/>
      <c r="C64" s="72"/>
      <c r="D64" s="72">
        <f>+'CR FINANCIER 2018 pour AG'!J123</f>
        <v>476000</v>
      </c>
      <c r="E64" s="70">
        <f>+'CR FINANCIER 2018 pour AG'!K123</f>
        <v>435981.54600000003</v>
      </c>
      <c r="F64" s="70">
        <f>+E64-D64</f>
        <v>-40018.453999999969</v>
      </c>
      <c r="G64" s="102">
        <f>E64/D64</f>
        <v>0.91592761764705888</v>
      </c>
    </row>
    <row r="65" spans="1:10" ht="13.5" thickBot="1" x14ac:dyDescent="0.25">
      <c r="A65" s="4"/>
      <c r="B65" s="2"/>
      <c r="C65" s="56"/>
      <c r="D65" s="56"/>
      <c r="E65" s="26"/>
      <c r="F65" s="26"/>
      <c r="G65" s="103"/>
    </row>
    <row r="66" spans="1:10" ht="16.5" thickBot="1" x14ac:dyDescent="0.3">
      <c r="A66" s="20" t="s">
        <v>69</v>
      </c>
      <c r="B66" s="95"/>
      <c r="C66" s="72"/>
      <c r="D66" s="72"/>
      <c r="E66" s="70"/>
      <c r="F66" s="70"/>
      <c r="G66" s="101"/>
    </row>
    <row r="67" spans="1:10" ht="16.5" thickBot="1" x14ac:dyDescent="0.3">
      <c r="A67" s="20" t="s">
        <v>70</v>
      </c>
      <c r="B67" s="95"/>
      <c r="C67" s="72"/>
      <c r="D67" s="72">
        <f>+'CR FINANCIER 2018 pour AG'!J138</f>
        <v>6200</v>
      </c>
      <c r="E67" s="70">
        <f>+'CR FINANCIER 2018 pour AG'!K138</f>
        <v>12234.898000000001</v>
      </c>
      <c r="F67" s="70">
        <f>+E67-D67</f>
        <v>6034.898000000001</v>
      </c>
      <c r="G67" s="102">
        <f>E67/D67</f>
        <v>1.9733706451612905</v>
      </c>
    </row>
    <row r="68" spans="1:10" ht="13.5" thickBot="1" x14ac:dyDescent="0.25">
      <c r="A68" s="4"/>
      <c r="B68" s="2"/>
      <c r="C68" s="56"/>
      <c r="D68" s="56"/>
      <c r="E68" s="26"/>
      <c r="F68" s="26"/>
      <c r="G68" s="103"/>
    </row>
    <row r="69" spans="1:10" ht="16.5" thickBot="1" x14ac:dyDescent="0.3">
      <c r="A69" s="20" t="s">
        <v>80</v>
      </c>
      <c r="B69" s="95"/>
      <c r="C69" s="72"/>
      <c r="D69" s="72"/>
      <c r="E69" s="70"/>
      <c r="F69" s="70"/>
      <c r="G69" s="101"/>
    </row>
    <row r="70" spans="1:10" ht="16.5" thickBot="1" x14ac:dyDescent="0.3">
      <c r="A70" s="20" t="s">
        <v>81</v>
      </c>
      <c r="B70" s="95"/>
      <c r="C70" s="72"/>
      <c r="D70" s="72">
        <f>+'CR FINANCIER 2018 pour AG'!J155</f>
        <v>23500</v>
      </c>
      <c r="E70" s="70">
        <f>+'CR FINANCIER 2018 pour AG'!K155</f>
        <v>33770.531999999999</v>
      </c>
      <c r="F70" s="70">
        <f>+E70-D70</f>
        <v>10270.531999999999</v>
      </c>
      <c r="G70" s="102">
        <f>E70/D70</f>
        <v>1.4370439148936169</v>
      </c>
    </row>
    <row r="71" spans="1:10" x14ac:dyDescent="0.2">
      <c r="A71" s="14"/>
      <c r="B71" s="16"/>
      <c r="C71" s="62"/>
      <c r="D71" s="62"/>
      <c r="E71" s="29"/>
      <c r="F71" s="29"/>
      <c r="G71" s="104"/>
    </row>
    <row r="72" spans="1:10" ht="15.75" x14ac:dyDescent="0.25">
      <c r="A72" s="17" t="s">
        <v>87</v>
      </c>
      <c r="B72" s="96"/>
      <c r="C72" s="63"/>
      <c r="D72" s="63"/>
      <c r="E72" s="27"/>
      <c r="F72" s="27"/>
      <c r="G72" s="105"/>
    </row>
    <row r="73" spans="1:10" ht="15.75" x14ac:dyDescent="0.25">
      <c r="A73" s="17" t="s">
        <v>88</v>
      </c>
      <c r="B73" s="97"/>
      <c r="C73" s="63"/>
      <c r="D73" s="63"/>
      <c r="E73" s="27"/>
      <c r="F73" s="27"/>
      <c r="G73" s="105"/>
    </row>
    <row r="74" spans="1:10" ht="13.5" thickBot="1" x14ac:dyDescent="0.25">
      <c r="A74" s="12"/>
      <c r="B74" s="18"/>
      <c r="C74" s="64"/>
      <c r="D74" s="64"/>
      <c r="E74" s="28"/>
      <c r="F74" s="28"/>
      <c r="G74" s="106"/>
    </row>
    <row r="75" spans="1:10" ht="16.5" thickBot="1" x14ac:dyDescent="0.3">
      <c r="A75" s="107" t="s">
        <v>134</v>
      </c>
      <c r="B75" s="107"/>
      <c r="C75" s="72"/>
      <c r="D75" s="72">
        <f>SUM(D46:D74)</f>
        <v>931495</v>
      </c>
      <c r="E75" s="70">
        <f>SUM(E46:E74)</f>
        <v>765221.27000000014</v>
      </c>
      <c r="F75" s="70">
        <f>+E75-D75</f>
        <v>-166273.72999999986</v>
      </c>
      <c r="G75" s="102">
        <f>E75/D75</f>
        <v>0.82149798979060562</v>
      </c>
      <c r="J75" s="35">
        <f>+F75/D75</f>
        <v>-0.17850201020939443</v>
      </c>
    </row>
    <row r="77" spans="1:10" x14ac:dyDescent="0.2">
      <c r="A77" s="113" t="s">
        <v>147</v>
      </c>
      <c r="E77" s="114">
        <f>+E75-E35</f>
        <v>-82522.689999999828</v>
      </c>
      <c r="F77" s="135"/>
    </row>
    <row r="78" spans="1:10" x14ac:dyDescent="0.2">
      <c r="A78" s="113"/>
      <c r="E78" s="113"/>
      <c r="F78" s="135"/>
    </row>
  </sheetData>
  <mergeCells count="10">
    <mergeCell ref="A77:A78"/>
    <mergeCell ref="E77:F78"/>
    <mergeCell ref="B43:G43"/>
    <mergeCell ref="B44:D44"/>
    <mergeCell ref="A41:G41"/>
    <mergeCell ref="A39:G39"/>
    <mergeCell ref="A1:G1"/>
    <mergeCell ref="B3:G3"/>
    <mergeCell ref="B4:D4"/>
    <mergeCell ref="A37:G37"/>
  </mergeCells>
  <pageMargins left="0.11811023622047245" right="0.11811023622047245" top="0.35433070866141736" bottom="0.35433070866141736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3"/>
  <sheetViews>
    <sheetView showWhiteSpace="0" topLeftCell="A16" zoomScaleNormal="100" workbookViewId="0">
      <selection activeCell="A16" sqref="A1:XFD1048576"/>
    </sheetView>
  </sheetViews>
  <sheetFormatPr baseColWidth="10" defaultRowHeight="12.75" x14ac:dyDescent="0.2"/>
  <cols>
    <col min="1" max="1" width="38.85546875" style="1" customWidth="1"/>
    <col min="2" max="2" width="9.85546875" style="24" customWidth="1"/>
    <col min="3" max="3" width="11.5703125" style="24" customWidth="1"/>
    <col min="4" max="4" width="10" style="24" customWidth="1"/>
    <col min="5" max="6" width="11.85546875" style="24" customWidth="1"/>
    <col min="7" max="7" width="11.140625" style="43" customWidth="1"/>
    <col min="8" max="9" width="11.42578125" style="1"/>
    <col min="10" max="10" width="13.7109375" style="1" customWidth="1"/>
    <col min="11" max="16384" width="11.42578125" style="1"/>
  </cols>
  <sheetData>
    <row r="1" spans="1:9" ht="15" customHeight="1" x14ac:dyDescent="0.2"/>
    <row r="2" spans="1:9" ht="15" customHeight="1" x14ac:dyDescent="0.25">
      <c r="A2" s="108" t="s">
        <v>145</v>
      </c>
      <c r="B2" s="109">
        <f>+'SYNTHESE 31 décembre 2018'!E6</f>
        <v>90376.268555555551</v>
      </c>
    </row>
    <row r="3" spans="1:9" ht="15" customHeight="1" x14ac:dyDescent="0.25">
      <c r="A3" s="108" t="s">
        <v>11</v>
      </c>
      <c r="B3" s="109">
        <f>+'SYNTHESE 31 décembre 2018'!E9</f>
        <v>266835.42975555558</v>
      </c>
    </row>
    <row r="4" spans="1:9" ht="15" customHeight="1" x14ac:dyDescent="0.25">
      <c r="A4" s="108" t="s">
        <v>26</v>
      </c>
      <c r="B4" s="109">
        <f>+'SYNTHESE 31 décembre 2018'!E12</f>
        <v>36747.685249999995</v>
      </c>
    </row>
    <row r="5" spans="1:9" ht="15" customHeight="1" x14ac:dyDescent="0.25">
      <c r="A5" s="108" t="s">
        <v>151</v>
      </c>
      <c r="B5" s="109">
        <f>+'SYNTHESE 31 décembre 2018'!E15</f>
        <v>10798.995138888889</v>
      </c>
    </row>
    <row r="6" spans="1:9" ht="15" customHeight="1" x14ac:dyDescent="0.25">
      <c r="A6" s="108" t="s">
        <v>38</v>
      </c>
      <c r="B6" s="109">
        <f>+'SYNTHESE 31 décembre 2018'!E18</f>
        <v>29264.743005555552</v>
      </c>
      <c r="H6" s="24"/>
    </row>
    <row r="7" spans="1:9" ht="15" customHeight="1" x14ac:dyDescent="0.25">
      <c r="A7" s="108" t="s">
        <v>45</v>
      </c>
      <c r="B7" s="109">
        <f>+'SYNTHESE 31 décembre 2018'!E21</f>
        <v>77252.076516666668</v>
      </c>
    </row>
    <row r="8" spans="1:9" ht="15" customHeight="1" x14ac:dyDescent="0.25">
      <c r="A8" s="108" t="s">
        <v>60</v>
      </c>
      <c r="B8" s="109">
        <f>+'SYNTHESE 31 décembre 2018'!E24</f>
        <v>14606.239833333333</v>
      </c>
    </row>
    <row r="9" spans="1:9" ht="15" customHeight="1" x14ac:dyDescent="0.25">
      <c r="A9" s="108" t="s">
        <v>69</v>
      </c>
      <c r="B9" s="109">
        <f>+'SYNTHESE 31 décembre 2018'!E27</f>
        <v>152983.97650000002</v>
      </c>
      <c r="H9" s="24"/>
      <c r="I9" s="69"/>
    </row>
    <row r="10" spans="1:9" ht="15" customHeight="1" x14ac:dyDescent="0.25">
      <c r="A10" s="108" t="s">
        <v>80</v>
      </c>
      <c r="B10" s="109">
        <f>+'SYNTHESE 31 décembre 2018'!E30</f>
        <v>168878.54544444446</v>
      </c>
    </row>
    <row r="11" spans="1:9" ht="15" customHeight="1" x14ac:dyDescent="0.2"/>
    <row r="12" spans="1:9" ht="15" customHeight="1" x14ac:dyDescent="0.2"/>
    <row r="13" spans="1:9" ht="15" customHeight="1" x14ac:dyDescent="0.2"/>
    <row r="14" spans="1:9" ht="15" customHeight="1" x14ac:dyDescent="0.2"/>
    <row r="15" spans="1:9" ht="15" customHeight="1" x14ac:dyDescent="0.2">
      <c r="A15" s="2"/>
      <c r="B15" s="1"/>
    </row>
    <row r="16" spans="1:9" ht="15" customHeight="1" x14ac:dyDescent="0.2">
      <c r="A16" s="2"/>
      <c r="B16" s="1"/>
    </row>
    <row r="17" spans="1:2" ht="15" customHeight="1" x14ac:dyDescent="0.2">
      <c r="A17" s="2"/>
      <c r="B17" s="1"/>
    </row>
    <row r="18" spans="1:2" ht="15" customHeight="1" x14ac:dyDescent="0.2">
      <c r="A18" s="2"/>
      <c r="B18" s="1"/>
    </row>
    <row r="19" spans="1:2" ht="15" customHeight="1" x14ac:dyDescent="0.2">
      <c r="A19" s="2"/>
      <c r="B19" s="1"/>
    </row>
    <row r="20" spans="1:2" ht="15" customHeight="1" x14ac:dyDescent="0.2">
      <c r="A20" s="2"/>
      <c r="B20" s="1"/>
    </row>
    <row r="21" spans="1:2" ht="15" customHeight="1" x14ac:dyDescent="0.2">
      <c r="A21" s="2"/>
      <c r="B21" s="1"/>
    </row>
    <row r="22" spans="1:2" ht="15" customHeight="1" x14ac:dyDescent="0.2">
      <c r="A22" s="2"/>
      <c r="B22" s="1"/>
    </row>
    <row r="23" spans="1:2" ht="15" customHeight="1" x14ac:dyDescent="0.2">
      <c r="A23" s="2"/>
      <c r="B23" s="1"/>
    </row>
    <row r="24" spans="1:2" ht="15" customHeight="1" x14ac:dyDescent="0.2">
      <c r="A24" s="2"/>
      <c r="B24" s="1"/>
    </row>
    <row r="25" spans="1:2" ht="15" customHeight="1" x14ac:dyDescent="0.2">
      <c r="A25" s="2"/>
      <c r="B25" s="1"/>
    </row>
    <row r="26" spans="1:2" ht="15" customHeight="1" x14ac:dyDescent="0.2">
      <c r="A26" s="2"/>
      <c r="B26" s="1"/>
    </row>
    <row r="27" spans="1:2" ht="15" customHeight="1" x14ac:dyDescent="0.2">
      <c r="A27" s="2"/>
      <c r="B27" s="1"/>
    </row>
    <row r="28" spans="1:2" ht="15" customHeight="1" x14ac:dyDescent="0.2">
      <c r="A28" s="2"/>
      <c r="B28" s="1"/>
    </row>
    <row r="29" spans="1:2" ht="15" customHeight="1" x14ac:dyDescent="0.25">
      <c r="A29" s="108" t="s">
        <v>145</v>
      </c>
      <c r="B29" s="110">
        <f>+'SYNTHESE 31 décembre 2018'!E46</f>
        <v>22639</v>
      </c>
    </row>
    <row r="30" spans="1:2" ht="15" customHeight="1" x14ac:dyDescent="0.25">
      <c r="A30" s="108" t="s">
        <v>11</v>
      </c>
      <c r="B30" s="110">
        <f>+'SYNTHESE 31 décembre 2018'!E49</f>
        <v>134763.08799999999</v>
      </c>
    </row>
    <row r="31" spans="1:2" ht="15" customHeight="1" x14ac:dyDescent="0.25">
      <c r="A31" s="108" t="s">
        <v>26</v>
      </c>
      <c r="B31" s="110">
        <f>+'SYNTHESE 31 décembre 2018'!E52</f>
        <v>26269.848999999998</v>
      </c>
    </row>
    <row r="32" spans="1:2" ht="15" customHeight="1" x14ac:dyDescent="0.25">
      <c r="A32" s="108" t="s">
        <v>151</v>
      </c>
      <c r="B32" s="110">
        <f>+'SYNTHESE 31 décembre 2018'!E55</f>
        <v>9646.0990000000002</v>
      </c>
    </row>
    <row r="33" spans="1:8" ht="15" customHeight="1" x14ac:dyDescent="0.25">
      <c r="A33" s="108" t="s">
        <v>38</v>
      </c>
      <c r="B33" s="110">
        <f>+'SYNTHESE 31 décembre 2018'!E58</f>
        <v>18042.918999999998</v>
      </c>
    </row>
    <row r="34" spans="1:8" ht="15" customHeight="1" x14ac:dyDescent="0.25">
      <c r="A34" s="108" t="s">
        <v>45</v>
      </c>
      <c r="B34" s="110">
        <f>+'SYNTHESE 31 décembre 2018'!E61</f>
        <v>71873.339000000007</v>
      </c>
    </row>
    <row r="35" spans="1:8" ht="15" customHeight="1" x14ac:dyDescent="0.25">
      <c r="A35" s="108" t="s">
        <v>60</v>
      </c>
      <c r="B35" s="110">
        <f>+'SYNTHESE 31 décembre 2018'!E64</f>
        <v>435981.54600000003</v>
      </c>
    </row>
    <row r="36" spans="1:8" ht="15" customHeight="1" x14ac:dyDescent="0.25">
      <c r="A36" s="108" t="s">
        <v>69</v>
      </c>
      <c r="B36" s="110">
        <f>+'SYNTHESE 31 décembre 2018'!E67</f>
        <v>12234.898000000001</v>
      </c>
    </row>
    <row r="37" spans="1:8" ht="15" customHeight="1" x14ac:dyDescent="0.25">
      <c r="A37" s="108" t="s">
        <v>80</v>
      </c>
      <c r="B37" s="110">
        <f>+'SYNTHESE 31 décembre 2018'!E70</f>
        <v>33770.531999999999</v>
      </c>
    </row>
    <row r="38" spans="1:8" ht="15" customHeight="1" x14ac:dyDescent="0.2"/>
    <row r="39" spans="1:8" ht="15" customHeight="1" x14ac:dyDescent="0.2"/>
    <row r="40" spans="1:8" ht="15" customHeight="1" x14ac:dyDescent="0.2"/>
    <row r="41" spans="1:8" ht="15" customHeight="1" x14ac:dyDescent="0.2"/>
    <row r="42" spans="1:8" ht="15" customHeight="1" x14ac:dyDescent="0.2"/>
    <row r="43" spans="1:8" ht="15" customHeight="1" x14ac:dyDescent="0.2"/>
    <row r="44" spans="1:8" ht="15" customHeight="1" x14ac:dyDescent="0.2">
      <c r="H44" s="24"/>
    </row>
    <row r="45" spans="1:8" ht="15" customHeight="1" x14ac:dyDescent="0.2"/>
    <row r="46" spans="1:8" ht="15" customHeight="1" x14ac:dyDescent="0.2"/>
    <row r="47" spans="1:8" ht="15" customHeight="1" x14ac:dyDescent="0.2"/>
    <row r="48" spans="1: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</sheetData>
  <sortState ref="A84:B108">
    <sortCondition ref="A84"/>
  </sortState>
  <pageMargins left="0.11811023622047245" right="0.11811023622047245" top="0.35433070866141736" bottom="0.35433070866141736" header="0.31496062992125984" footer="0.31496062992125984"/>
  <pageSetup paperSize="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"/>
  <sheetViews>
    <sheetView workbookViewId="0">
      <selection sqref="A1:G1"/>
    </sheetView>
  </sheetViews>
  <sheetFormatPr baseColWidth="10" defaultRowHeight="12.75" x14ac:dyDescent="0.2"/>
  <cols>
    <col min="1" max="1" width="44.7109375" style="1" customWidth="1"/>
    <col min="2" max="4" width="13.7109375" style="1" customWidth="1"/>
    <col min="5" max="5" width="33.5703125" style="1" customWidth="1"/>
    <col min="6" max="7" width="13.7109375" style="1" customWidth="1"/>
    <col min="8" max="16384" width="11.42578125" style="1"/>
  </cols>
  <sheetData>
    <row r="1" spans="1:7" ht="26.25" x14ac:dyDescent="0.4">
      <c r="A1" s="115" t="s">
        <v>121</v>
      </c>
      <c r="B1" s="115"/>
      <c r="C1" s="115"/>
      <c r="D1" s="115"/>
      <c r="E1" s="115"/>
      <c r="F1" s="115"/>
      <c r="G1" s="115"/>
    </row>
    <row r="2" spans="1:7" ht="13.5" thickBot="1" x14ac:dyDescent="0.25"/>
    <row r="3" spans="1:7" ht="18.75" customHeight="1" thickBot="1" x14ac:dyDescent="0.3">
      <c r="A3" s="3" t="s">
        <v>1</v>
      </c>
      <c r="B3" s="116" t="s">
        <v>2</v>
      </c>
      <c r="C3" s="117"/>
      <c r="D3" s="117"/>
      <c r="E3" s="139" t="s">
        <v>3</v>
      </c>
      <c r="F3" s="136"/>
      <c r="G3" s="140"/>
    </row>
    <row r="4" spans="1:7" ht="16.5" thickBot="1" x14ac:dyDescent="0.3">
      <c r="A4" s="20" t="s">
        <v>112</v>
      </c>
      <c r="B4" s="21"/>
      <c r="C4" s="21"/>
      <c r="D4" s="22">
        <v>123800</v>
      </c>
      <c r="E4" s="23"/>
      <c r="F4" s="21"/>
      <c r="G4" s="22">
        <v>119400</v>
      </c>
    </row>
    <row r="5" spans="1:7" ht="18" customHeight="1" thickBot="1" x14ac:dyDescent="0.25">
      <c r="A5" s="4"/>
      <c r="B5" s="2"/>
      <c r="C5" s="2"/>
      <c r="D5" s="2"/>
      <c r="E5" s="4"/>
      <c r="F5" s="2"/>
      <c r="G5" s="5"/>
    </row>
    <row r="6" spans="1:7" ht="16.5" thickBot="1" x14ac:dyDescent="0.3">
      <c r="A6" s="20" t="s">
        <v>113</v>
      </c>
      <c r="B6" s="21"/>
      <c r="C6" s="21"/>
      <c r="D6" s="22">
        <v>227865</v>
      </c>
      <c r="E6" s="23"/>
      <c r="F6" s="21"/>
      <c r="G6" s="22">
        <v>172995</v>
      </c>
    </row>
    <row r="7" spans="1:7" ht="13.5" thickBot="1" x14ac:dyDescent="0.25">
      <c r="A7" s="4"/>
      <c r="B7" s="2"/>
      <c r="C7" s="2"/>
      <c r="D7" s="2"/>
      <c r="E7" s="4"/>
      <c r="F7" s="2"/>
      <c r="G7" s="5"/>
    </row>
    <row r="8" spans="1:7" ht="16.5" thickBot="1" x14ac:dyDescent="0.3">
      <c r="A8" s="20" t="s">
        <v>114</v>
      </c>
      <c r="B8" s="21"/>
      <c r="C8" s="21"/>
      <c r="D8" s="22">
        <v>42000</v>
      </c>
      <c r="E8" s="23"/>
      <c r="F8" s="21"/>
      <c r="G8" s="22">
        <v>6000</v>
      </c>
    </row>
    <row r="9" spans="1:7" ht="13.5" thickBot="1" x14ac:dyDescent="0.25">
      <c r="A9" s="4"/>
      <c r="B9" s="2"/>
      <c r="C9" s="2"/>
      <c r="D9" s="2"/>
      <c r="E9" s="4"/>
      <c r="F9" s="2"/>
      <c r="G9" s="5"/>
    </row>
    <row r="10" spans="1:7" ht="16.5" thickBot="1" x14ac:dyDescent="0.3">
      <c r="A10" s="20" t="s">
        <v>115</v>
      </c>
      <c r="B10" s="21"/>
      <c r="C10" s="21"/>
      <c r="D10" s="22">
        <v>39650</v>
      </c>
      <c r="E10" s="23"/>
      <c r="F10" s="21"/>
      <c r="G10" s="22">
        <v>28900</v>
      </c>
    </row>
    <row r="11" spans="1:7" ht="13.5" thickBot="1" x14ac:dyDescent="0.25">
      <c r="A11" s="4"/>
      <c r="B11" s="2"/>
      <c r="C11" s="2"/>
      <c r="D11" s="2"/>
      <c r="E11" s="4"/>
      <c r="F11" s="2"/>
      <c r="G11" s="5"/>
    </row>
    <row r="12" spans="1:7" ht="16.5" thickBot="1" x14ac:dyDescent="0.3">
      <c r="A12" s="20" t="s">
        <v>116</v>
      </c>
      <c r="B12" s="21"/>
      <c r="C12" s="21"/>
      <c r="D12" s="22">
        <v>51100</v>
      </c>
      <c r="E12" s="23"/>
      <c r="F12" s="21"/>
      <c r="G12" s="22">
        <v>31500</v>
      </c>
    </row>
    <row r="13" spans="1:7" ht="13.5" thickBot="1" x14ac:dyDescent="0.25">
      <c r="A13" s="4"/>
      <c r="B13" s="2"/>
      <c r="C13" s="2"/>
      <c r="D13" s="2"/>
      <c r="E13" s="4"/>
      <c r="F13" s="2"/>
      <c r="G13" s="5"/>
    </row>
    <row r="14" spans="1:7" ht="16.5" thickBot="1" x14ac:dyDescent="0.3">
      <c r="A14" s="20" t="s">
        <v>117</v>
      </c>
      <c r="B14" s="21"/>
      <c r="C14" s="21"/>
      <c r="D14" s="22">
        <v>83000</v>
      </c>
      <c r="E14" s="23"/>
      <c r="F14" s="21"/>
      <c r="G14" s="22">
        <v>67000</v>
      </c>
    </row>
    <row r="15" spans="1:7" ht="13.5" thickBot="1" x14ac:dyDescent="0.25">
      <c r="A15" s="4"/>
      <c r="B15" s="2"/>
      <c r="C15" s="2"/>
      <c r="D15" s="2"/>
      <c r="E15" s="4"/>
      <c r="F15" s="2"/>
      <c r="G15" s="5"/>
    </row>
    <row r="16" spans="1:7" ht="16.5" thickBot="1" x14ac:dyDescent="0.3">
      <c r="A16" s="20" t="s">
        <v>118</v>
      </c>
      <c r="B16" s="21"/>
      <c r="C16" s="21"/>
      <c r="D16" s="22">
        <v>81500</v>
      </c>
      <c r="E16" s="23"/>
      <c r="F16" s="21"/>
      <c r="G16" s="22">
        <v>476000</v>
      </c>
    </row>
    <row r="17" spans="1:7" ht="13.5" thickBot="1" x14ac:dyDescent="0.25">
      <c r="A17" s="4"/>
      <c r="B17" s="2"/>
      <c r="C17" s="2"/>
      <c r="D17" s="2"/>
      <c r="E17" s="4"/>
      <c r="F17" s="2"/>
      <c r="G17" s="5"/>
    </row>
    <row r="18" spans="1:7" ht="16.5" thickBot="1" x14ac:dyDescent="0.3">
      <c r="A18" s="20" t="s">
        <v>119</v>
      </c>
      <c r="B18" s="21"/>
      <c r="C18" s="21"/>
      <c r="D18" s="22">
        <v>112100</v>
      </c>
      <c r="E18" s="23"/>
      <c r="F18" s="21"/>
      <c r="G18" s="22">
        <v>6200</v>
      </c>
    </row>
    <row r="19" spans="1:7" ht="13.5" thickBot="1" x14ac:dyDescent="0.25">
      <c r="A19" s="4"/>
      <c r="B19" s="2"/>
      <c r="C19" s="2"/>
      <c r="D19" s="2"/>
      <c r="E19" s="4"/>
      <c r="F19" s="2"/>
      <c r="G19" s="5"/>
    </row>
    <row r="20" spans="1:7" ht="16.5" thickBot="1" x14ac:dyDescent="0.3">
      <c r="A20" s="20" t="s">
        <v>120</v>
      </c>
      <c r="B20" s="21"/>
      <c r="C20" s="21"/>
      <c r="D20" s="22">
        <v>170480</v>
      </c>
      <c r="E20" s="23"/>
      <c r="F20" s="21"/>
      <c r="G20" s="22">
        <v>23500</v>
      </c>
    </row>
    <row r="21" spans="1:7" ht="13.5" thickBot="1" x14ac:dyDescent="0.25">
      <c r="A21" s="4"/>
      <c r="B21" s="2"/>
      <c r="C21" s="2"/>
      <c r="D21" s="2"/>
      <c r="E21" s="4"/>
      <c r="F21" s="2"/>
      <c r="G21" s="5"/>
    </row>
    <row r="22" spans="1:7" ht="16.5" thickBot="1" x14ac:dyDescent="0.3">
      <c r="A22" s="20" t="s">
        <v>89</v>
      </c>
      <c r="B22" s="21"/>
      <c r="C22" s="21"/>
      <c r="D22" s="22">
        <f>+D4+D6+D8+D10+D12+D14+D16+D18+D20</f>
        <v>931495</v>
      </c>
      <c r="E22" s="20" t="s">
        <v>90</v>
      </c>
      <c r="F22" s="21"/>
      <c r="G22" s="22">
        <f>+G4+G6+G8+G10+G12+G14+G16+G18+G20</f>
        <v>931495</v>
      </c>
    </row>
  </sheetData>
  <mergeCells count="3">
    <mergeCell ref="A1:G1"/>
    <mergeCell ref="B3:D3"/>
    <mergeCell ref="E3:G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CR FINANCIER 2018 pour AG</vt:lpstr>
      <vt:lpstr>SYNTHESE 31 décembre 2018</vt:lpstr>
      <vt:lpstr>DIAPORAMA</vt:lpstr>
      <vt:lpstr>Synthèse </vt:lpstr>
      <vt:lpstr>'CR FINANCIER 2018 pour AG'!Zone_d_impression</vt:lpstr>
      <vt:lpstr>'SYNTHESE 31 décembre 2018'!Zone_d_impression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Jean-Pierre Rouquier</cp:lastModifiedBy>
  <cp:lastPrinted>2019-02-14T13:23:54Z</cp:lastPrinted>
  <dcterms:created xsi:type="dcterms:W3CDTF">2017-10-25T08:30:42Z</dcterms:created>
  <dcterms:modified xsi:type="dcterms:W3CDTF">2019-02-26T06:33:59Z</dcterms:modified>
</cp:coreProperties>
</file>